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Hobbies\Rockets\ERA\Simulation Software\"/>
    </mc:Choice>
  </mc:AlternateContent>
  <xr:revisionPtr revIDLastSave="0" documentId="8_{85347DE2-42C2-45AA-A83B-28C110747740}" xr6:coauthVersionLast="47" xr6:coauthVersionMax="47" xr10:uidLastSave="{00000000-0000-0000-0000-000000000000}"/>
  <bookViews>
    <workbookView xWindow="-108" yWindow="-108" windowWidth="23256" windowHeight="12456" xr2:uid="{D29855A9-F505-4267-8096-F6DB49E7DEAE}"/>
  </bookViews>
  <sheets>
    <sheet name="CoreBurner" sheetId="1" r:id="rId1"/>
    <sheet name="Nozzleless" sheetId="3" r:id="rId2"/>
    <sheet name="CoredEndBurner" sheetId="5" r:id="rId3"/>
    <sheet name="EndBurner" sheetId="7" r:id="rId4"/>
    <sheet name="Bates" sheetId="8" r:id="rId5"/>
    <sheet name="SugProp Burn Rate Data" sheetId="2" r:id="rId6"/>
    <sheet name="Version Log" sheetId="4" r:id="rId7"/>
    <sheet name="Motor Classification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8" l="1"/>
  <c r="C17" i="5"/>
  <c r="C14" i="3"/>
  <c r="C16" i="1"/>
  <c r="C22" i="1"/>
  <c r="B5" i="9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4" i="9"/>
  <c r="L3" i="8"/>
  <c r="C9" i="8"/>
  <c r="C25" i="8"/>
  <c r="D25" i="8"/>
  <c r="D26" i="8" s="1"/>
  <c r="L76" i="8"/>
  <c r="C7" i="7"/>
  <c r="B20" i="7"/>
  <c r="C20" i="7" s="1"/>
  <c r="D20" i="7" s="1"/>
  <c r="F20" i="7" s="1"/>
  <c r="C12" i="7" s="1"/>
  <c r="C77" i="5"/>
  <c r="E77" i="5" s="1"/>
  <c r="F77" i="5" s="1"/>
  <c r="L79" i="5"/>
  <c r="C78" i="5"/>
  <c r="E78" i="5" s="1"/>
  <c r="F78" i="5" s="1"/>
  <c r="D26" i="5"/>
  <c r="C26" i="5"/>
  <c r="C9" i="5"/>
  <c r="L4" i="5" s="1"/>
  <c r="L3" i="5"/>
  <c r="K76" i="3"/>
  <c r="D25" i="3"/>
  <c r="C25" i="3"/>
  <c r="C6" i="3"/>
  <c r="L4" i="3" s="1"/>
  <c r="L3" i="3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11" i="5" l="1"/>
  <c r="C26" i="8"/>
  <c r="E26" i="8" s="1"/>
  <c r="F26" i="8" s="1"/>
  <c r="D27" i="8"/>
  <c r="C27" i="8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E20" i="7"/>
  <c r="H77" i="5"/>
  <c r="I77" i="5" s="1"/>
  <c r="G77" i="5"/>
  <c r="K77" i="5" s="1"/>
  <c r="L77" i="5" s="1"/>
  <c r="C27" i="5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D27" i="5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G78" i="5"/>
  <c r="K78" i="5" s="1"/>
  <c r="L78" i="5" s="1"/>
  <c r="H78" i="5"/>
  <c r="I78" i="5" s="1"/>
  <c r="C10" i="5"/>
  <c r="D26" i="3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C7" i="3"/>
  <c r="L76" i="1"/>
  <c r="D28" i="8" l="1"/>
  <c r="E27" i="8"/>
  <c r="F27" i="8" s="1"/>
  <c r="G26" i="8"/>
  <c r="K26" i="8" s="1"/>
  <c r="H26" i="8"/>
  <c r="I26" i="8" s="1"/>
  <c r="C28" i="8"/>
  <c r="C13" i="7"/>
  <c r="M77" i="5"/>
  <c r="M78" i="5"/>
  <c r="E27" i="3"/>
  <c r="F27" i="3" s="1"/>
  <c r="J27" i="3" s="1"/>
  <c r="E26" i="3"/>
  <c r="F26" i="3" s="1"/>
  <c r="J26" i="3" s="1"/>
  <c r="L3" i="1"/>
  <c r="D25" i="1"/>
  <c r="C25" i="1"/>
  <c r="C8" i="1"/>
  <c r="C9" i="1" s="1"/>
  <c r="D29" i="8" l="1"/>
  <c r="E28" i="8"/>
  <c r="F28" i="8" s="1"/>
  <c r="J26" i="8"/>
  <c r="L26" i="8"/>
  <c r="C29" i="8"/>
  <c r="H27" i="8"/>
  <c r="I27" i="8" s="1"/>
  <c r="G27" i="8"/>
  <c r="K27" i="8" s="1"/>
  <c r="C10" i="7"/>
  <c r="C24" i="7"/>
  <c r="C14" i="7"/>
  <c r="G27" i="3"/>
  <c r="H27" i="3" s="1"/>
  <c r="C26" i="1"/>
  <c r="E28" i="3"/>
  <c r="F28" i="3" s="1"/>
  <c r="J28" i="3" s="1"/>
  <c r="L4" i="1"/>
  <c r="D30" i="8" l="1"/>
  <c r="E29" i="8"/>
  <c r="F29" i="8" s="1"/>
  <c r="M26" i="8"/>
  <c r="J27" i="8"/>
  <c r="M27" i="8"/>
  <c r="L27" i="8"/>
  <c r="G28" i="8"/>
  <c r="K28" i="8" s="1"/>
  <c r="H28" i="8"/>
  <c r="I28" i="8" s="1"/>
  <c r="C30" i="8"/>
  <c r="C25" i="7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D24" i="7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C15" i="7"/>
  <c r="C11" i="7"/>
  <c r="C17" i="7" s="1"/>
  <c r="K26" i="3"/>
  <c r="G26" i="3"/>
  <c r="H26" i="3" s="1"/>
  <c r="I26" i="3" s="1"/>
  <c r="I27" i="3" s="1"/>
  <c r="D26" i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C27" i="1"/>
  <c r="G28" i="3"/>
  <c r="H28" i="3" s="1"/>
  <c r="E29" i="3"/>
  <c r="F29" i="3" s="1"/>
  <c r="J29" i="3" s="1"/>
  <c r="L27" i="3"/>
  <c r="K27" i="3"/>
  <c r="D31" i="8" l="1"/>
  <c r="E30" i="8"/>
  <c r="F30" i="8" s="1"/>
  <c r="J28" i="8"/>
  <c r="L28" i="8"/>
  <c r="G29" i="8"/>
  <c r="K29" i="8" s="1"/>
  <c r="H29" i="8"/>
  <c r="I29" i="8" s="1"/>
  <c r="C31" i="8"/>
  <c r="G29" i="3"/>
  <c r="H29" i="3" s="1"/>
  <c r="E26" i="1"/>
  <c r="C28" i="1"/>
  <c r="E27" i="1"/>
  <c r="F27" i="1" s="1"/>
  <c r="G27" i="1" s="1"/>
  <c r="L26" i="3"/>
  <c r="E30" i="3"/>
  <c r="F30" i="3" s="1"/>
  <c r="J30" i="3" s="1"/>
  <c r="D32" i="8" l="1"/>
  <c r="E31" i="8"/>
  <c r="F31" i="8" s="1"/>
  <c r="M28" i="8"/>
  <c r="J29" i="8"/>
  <c r="L29" i="8"/>
  <c r="M29" i="8"/>
  <c r="G30" i="8"/>
  <c r="K30" i="8" s="1"/>
  <c r="H30" i="8"/>
  <c r="I30" i="8" s="1"/>
  <c r="C32" i="8"/>
  <c r="K28" i="3"/>
  <c r="F26" i="1"/>
  <c r="G26" i="1" s="1"/>
  <c r="K27" i="1"/>
  <c r="G30" i="3"/>
  <c r="H30" i="3" s="1"/>
  <c r="L28" i="3"/>
  <c r="C29" i="1"/>
  <c r="E28" i="1"/>
  <c r="F28" i="1" s="1"/>
  <c r="G28" i="1" s="1"/>
  <c r="I28" i="3"/>
  <c r="I29" i="3" s="1"/>
  <c r="E31" i="3"/>
  <c r="F31" i="3" s="1"/>
  <c r="J31" i="3" s="1"/>
  <c r="K29" i="3"/>
  <c r="L29" i="3"/>
  <c r="D33" i="8" l="1"/>
  <c r="E32" i="8"/>
  <c r="F32" i="8" s="1"/>
  <c r="J30" i="8"/>
  <c r="L30" i="8"/>
  <c r="G31" i="8"/>
  <c r="K31" i="8" s="1"/>
  <c r="H31" i="8"/>
  <c r="I31" i="8" s="1"/>
  <c r="C33" i="8"/>
  <c r="K26" i="1"/>
  <c r="H26" i="1"/>
  <c r="I26" i="1" s="1"/>
  <c r="J26" i="1" s="1"/>
  <c r="K28" i="1"/>
  <c r="L27" i="1"/>
  <c r="H27" i="1"/>
  <c r="I27" i="1" s="1"/>
  <c r="C30" i="1"/>
  <c r="E29" i="1"/>
  <c r="F29" i="1" s="1"/>
  <c r="G29" i="1" s="1"/>
  <c r="I30" i="3"/>
  <c r="E32" i="3"/>
  <c r="F32" i="3" s="1"/>
  <c r="J32" i="3" s="1"/>
  <c r="K30" i="3"/>
  <c r="L30" i="3"/>
  <c r="D34" i="8" l="1"/>
  <c r="E33" i="8"/>
  <c r="F33" i="8" s="1"/>
  <c r="M30" i="8"/>
  <c r="J31" i="8"/>
  <c r="L31" i="8"/>
  <c r="M31" i="8"/>
  <c r="C34" i="8"/>
  <c r="G32" i="8"/>
  <c r="K32" i="8" s="1"/>
  <c r="H32" i="8"/>
  <c r="I32" i="8" s="1"/>
  <c r="L26" i="1"/>
  <c r="J27" i="1"/>
  <c r="M26" i="1"/>
  <c r="K29" i="1"/>
  <c r="K31" i="3"/>
  <c r="G31" i="3"/>
  <c r="H31" i="3" s="1"/>
  <c r="I31" i="3" s="1"/>
  <c r="G32" i="3"/>
  <c r="H32" i="3" s="1"/>
  <c r="L28" i="1"/>
  <c r="H28" i="1"/>
  <c r="C31" i="1"/>
  <c r="E30" i="1"/>
  <c r="F30" i="1" s="1"/>
  <c r="E33" i="3"/>
  <c r="F33" i="3" s="1"/>
  <c r="J33" i="3" s="1"/>
  <c r="M27" i="1"/>
  <c r="D35" i="8" l="1"/>
  <c r="E34" i="8"/>
  <c r="F34" i="8" s="1"/>
  <c r="J32" i="8"/>
  <c r="L32" i="8"/>
  <c r="M32" i="8"/>
  <c r="H33" i="8"/>
  <c r="I33" i="8" s="1"/>
  <c r="G33" i="8"/>
  <c r="K33" i="8" s="1"/>
  <c r="C35" i="8"/>
  <c r="G30" i="1"/>
  <c r="K30" i="1" s="1"/>
  <c r="L31" i="3"/>
  <c r="I28" i="1"/>
  <c r="J28" i="1" s="1"/>
  <c r="H29" i="1"/>
  <c r="C32" i="1"/>
  <c r="E31" i="1"/>
  <c r="F31" i="1" s="1"/>
  <c r="G31" i="1" s="1"/>
  <c r="I32" i="3"/>
  <c r="E34" i="3"/>
  <c r="F34" i="3" s="1"/>
  <c r="J34" i="3" s="1"/>
  <c r="L32" i="3"/>
  <c r="K32" i="3"/>
  <c r="D36" i="8" l="1"/>
  <c r="E35" i="8"/>
  <c r="F35" i="8" s="1"/>
  <c r="J33" i="8"/>
  <c r="L33" i="8"/>
  <c r="M33" i="8"/>
  <c r="C36" i="8"/>
  <c r="G34" i="8"/>
  <c r="K34" i="8" s="1"/>
  <c r="H34" i="8"/>
  <c r="I34" i="8" s="1"/>
  <c r="K34" i="3"/>
  <c r="K31" i="1"/>
  <c r="M28" i="1"/>
  <c r="K33" i="3"/>
  <c r="G33" i="3"/>
  <c r="H33" i="3" s="1"/>
  <c r="I33" i="3" s="1"/>
  <c r="G34" i="3"/>
  <c r="H34" i="3" s="1"/>
  <c r="I29" i="1"/>
  <c r="J29" i="1" s="1"/>
  <c r="H30" i="1"/>
  <c r="C33" i="1"/>
  <c r="E32" i="1"/>
  <c r="F32" i="1" s="1"/>
  <c r="G32" i="1" s="1"/>
  <c r="E35" i="3"/>
  <c r="F35" i="3" s="1"/>
  <c r="J35" i="3" s="1"/>
  <c r="L29" i="1"/>
  <c r="D37" i="8" l="1"/>
  <c r="E36" i="8"/>
  <c r="F36" i="8" s="1"/>
  <c r="J34" i="8"/>
  <c r="M34" i="8"/>
  <c r="L34" i="8"/>
  <c r="C37" i="8"/>
  <c r="G35" i="8"/>
  <c r="K35" i="8" s="1"/>
  <c r="H35" i="8"/>
  <c r="I35" i="8" s="1"/>
  <c r="L34" i="3"/>
  <c r="K32" i="1"/>
  <c r="G35" i="3"/>
  <c r="H35" i="3" s="1"/>
  <c r="M29" i="1"/>
  <c r="I30" i="1"/>
  <c r="J30" i="1" s="1"/>
  <c r="H31" i="1"/>
  <c r="C34" i="1"/>
  <c r="E33" i="1"/>
  <c r="F33" i="1" s="1"/>
  <c r="L33" i="3"/>
  <c r="I34" i="3"/>
  <c r="E36" i="3"/>
  <c r="F36" i="3" s="1"/>
  <c r="J36" i="3" s="1"/>
  <c r="L30" i="1"/>
  <c r="D38" i="8" l="1"/>
  <c r="E37" i="8"/>
  <c r="J35" i="8"/>
  <c r="M35" i="8"/>
  <c r="L35" i="8"/>
  <c r="F37" i="8"/>
  <c r="C38" i="8"/>
  <c r="G36" i="8"/>
  <c r="K36" i="8" s="1"/>
  <c r="H36" i="8"/>
  <c r="I36" i="8" s="1"/>
  <c r="G33" i="1"/>
  <c r="K33" i="1" s="1"/>
  <c r="M30" i="1"/>
  <c r="I31" i="1"/>
  <c r="J31" i="1" s="1"/>
  <c r="H32" i="1"/>
  <c r="C35" i="1"/>
  <c r="E34" i="1"/>
  <c r="F34" i="1" s="1"/>
  <c r="G34" i="1" s="1"/>
  <c r="I35" i="3"/>
  <c r="E37" i="3"/>
  <c r="F37" i="3" s="1"/>
  <c r="J37" i="3" s="1"/>
  <c r="L35" i="3"/>
  <c r="K35" i="3"/>
  <c r="L31" i="1"/>
  <c r="D39" i="8" l="1"/>
  <c r="E38" i="8"/>
  <c r="F38" i="8" s="1"/>
  <c r="J36" i="8"/>
  <c r="L36" i="8"/>
  <c r="M36" i="8"/>
  <c r="C39" i="8"/>
  <c r="G37" i="8"/>
  <c r="K37" i="8" s="1"/>
  <c r="H37" i="8"/>
  <c r="I37" i="8" s="1"/>
  <c r="K34" i="1"/>
  <c r="M31" i="1"/>
  <c r="G37" i="3"/>
  <c r="H37" i="3" s="1"/>
  <c r="K36" i="3"/>
  <c r="G36" i="3"/>
  <c r="H36" i="3" s="1"/>
  <c r="I36" i="3" s="1"/>
  <c r="I32" i="1"/>
  <c r="J32" i="1" s="1"/>
  <c r="H33" i="1"/>
  <c r="C36" i="1"/>
  <c r="E35" i="1"/>
  <c r="F35" i="1" s="1"/>
  <c r="E38" i="3"/>
  <c r="F38" i="3" s="1"/>
  <c r="J38" i="3" s="1"/>
  <c r="L32" i="1"/>
  <c r="D40" i="8" l="1"/>
  <c r="E39" i="8"/>
  <c r="F39" i="8" s="1"/>
  <c r="J37" i="8"/>
  <c r="L37" i="8"/>
  <c r="M37" i="8"/>
  <c r="G38" i="8"/>
  <c r="K38" i="8" s="1"/>
  <c r="H38" i="8"/>
  <c r="I38" i="8" s="1"/>
  <c r="C40" i="8"/>
  <c r="K38" i="3"/>
  <c r="G35" i="1"/>
  <c r="K35" i="1" s="1"/>
  <c r="G38" i="3"/>
  <c r="H38" i="3" s="1"/>
  <c r="M32" i="1"/>
  <c r="I33" i="1"/>
  <c r="J33" i="1" s="1"/>
  <c r="L34" i="1"/>
  <c r="H34" i="1"/>
  <c r="C37" i="1"/>
  <c r="E36" i="1"/>
  <c r="F36" i="1" s="1"/>
  <c r="G36" i="1" s="1"/>
  <c r="L36" i="3"/>
  <c r="I37" i="3"/>
  <c r="E39" i="3"/>
  <c r="F39" i="3" s="1"/>
  <c r="J39" i="3" s="1"/>
  <c r="K37" i="3"/>
  <c r="L37" i="3"/>
  <c r="L33" i="1"/>
  <c r="D41" i="8" l="1"/>
  <c r="E40" i="8"/>
  <c r="F40" i="8" s="1"/>
  <c r="J38" i="8"/>
  <c r="L38" i="8"/>
  <c r="M38" i="8"/>
  <c r="G39" i="8"/>
  <c r="K39" i="8" s="1"/>
  <c r="H39" i="8"/>
  <c r="I39" i="8" s="1"/>
  <c r="C41" i="8"/>
  <c r="K39" i="3"/>
  <c r="K36" i="1"/>
  <c r="M33" i="1"/>
  <c r="G39" i="3"/>
  <c r="H39" i="3" s="1"/>
  <c r="I34" i="1"/>
  <c r="M34" i="1" s="1"/>
  <c r="L35" i="1"/>
  <c r="H35" i="1"/>
  <c r="I35" i="1" s="1"/>
  <c r="C38" i="1"/>
  <c r="E37" i="1"/>
  <c r="F37" i="1" s="1"/>
  <c r="G37" i="1" s="1"/>
  <c r="I38" i="3"/>
  <c r="E40" i="3"/>
  <c r="F40" i="3" s="1"/>
  <c r="J40" i="3" s="1"/>
  <c r="L38" i="3"/>
  <c r="D42" i="8" l="1"/>
  <c r="E41" i="8"/>
  <c r="F41" i="8" s="1"/>
  <c r="J39" i="8"/>
  <c r="L39" i="8"/>
  <c r="H40" i="8"/>
  <c r="I40" i="8" s="1"/>
  <c r="G40" i="8"/>
  <c r="K40" i="8" s="1"/>
  <c r="C42" i="8"/>
  <c r="K37" i="1"/>
  <c r="I39" i="3"/>
  <c r="G40" i="3"/>
  <c r="H40" i="3" s="1"/>
  <c r="J34" i="1"/>
  <c r="J35" i="1" s="1"/>
  <c r="H36" i="1"/>
  <c r="I36" i="1" s="1"/>
  <c r="C39" i="1"/>
  <c r="E38" i="1"/>
  <c r="F38" i="1" s="1"/>
  <c r="G38" i="1" s="1"/>
  <c r="E41" i="3"/>
  <c r="F41" i="3" s="1"/>
  <c r="J41" i="3" s="1"/>
  <c r="L39" i="3"/>
  <c r="M35" i="1"/>
  <c r="M39" i="8" l="1"/>
  <c r="D43" i="8"/>
  <c r="E42" i="8"/>
  <c r="F42" i="8" s="1"/>
  <c r="J40" i="8"/>
  <c r="L40" i="8"/>
  <c r="M40" i="8"/>
  <c r="H41" i="8"/>
  <c r="I41" i="8" s="1"/>
  <c r="G41" i="8"/>
  <c r="K41" i="8" s="1"/>
  <c r="C43" i="8"/>
  <c r="K41" i="3"/>
  <c r="K38" i="1"/>
  <c r="I40" i="3"/>
  <c r="G41" i="3"/>
  <c r="H41" i="3" s="1"/>
  <c r="J36" i="1"/>
  <c r="H37" i="1"/>
  <c r="I37" i="1" s="1"/>
  <c r="C40" i="1"/>
  <c r="E39" i="1"/>
  <c r="F39" i="1" s="1"/>
  <c r="G39" i="1" s="1"/>
  <c r="E42" i="3"/>
  <c r="F42" i="3" s="1"/>
  <c r="J42" i="3" s="1"/>
  <c r="K40" i="3"/>
  <c r="L40" i="3"/>
  <c r="M36" i="1"/>
  <c r="L36" i="1"/>
  <c r="D44" i="8" l="1"/>
  <c r="E43" i="8"/>
  <c r="F43" i="8" s="1"/>
  <c r="J41" i="8"/>
  <c r="L41" i="8"/>
  <c r="C44" i="8"/>
  <c r="G42" i="8"/>
  <c r="K42" i="8" s="1"/>
  <c r="H42" i="8"/>
  <c r="I42" i="8" s="1"/>
  <c r="I41" i="3"/>
  <c r="K39" i="1"/>
  <c r="G42" i="3"/>
  <c r="H42" i="3" s="1"/>
  <c r="J37" i="1"/>
  <c r="H38" i="1"/>
  <c r="I38" i="1" s="1"/>
  <c r="J38" i="1" s="1"/>
  <c r="C41" i="1"/>
  <c r="E40" i="1"/>
  <c r="F40" i="1" s="1"/>
  <c r="G40" i="1" s="1"/>
  <c r="L41" i="3"/>
  <c r="E43" i="3"/>
  <c r="F43" i="3" s="1"/>
  <c r="J43" i="3" s="1"/>
  <c r="M37" i="1"/>
  <c r="L37" i="1"/>
  <c r="D45" i="8" l="1"/>
  <c r="E44" i="8"/>
  <c r="F44" i="8" s="1"/>
  <c r="M41" i="8"/>
  <c r="J42" i="8"/>
  <c r="L42" i="8"/>
  <c r="C45" i="8"/>
  <c r="G43" i="8"/>
  <c r="K43" i="8" s="1"/>
  <c r="H43" i="8"/>
  <c r="I43" i="8" s="1"/>
  <c r="K43" i="3"/>
  <c r="I42" i="3"/>
  <c r="K40" i="1"/>
  <c r="G43" i="3"/>
  <c r="H43" i="3" s="1"/>
  <c r="H39" i="1"/>
  <c r="I39" i="1" s="1"/>
  <c r="J39" i="1" s="1"/>
  <c r="C42" i="1"/>
  <c r="E41" i="1"/>
  <c r="F41" i="1" s="1"/>
  <c r="G41" i="1" s="1"/>
  <c r="E44" i="3"/>
  <c r="F44" i="3" s="1"/>
  <c r="J44" i="3" s="1"/>
  <c r="L42" i="3"/>
  <c r="K42" i="3"/>
  <c r="M38" i="1"/>
  <c r="L38" i="1"/>
  <c r="M42" i="8" l="1"/>
  <c r="D46" i="8"/>
  <c r="E45" i="8"/>
  <c r="F45" i="8" s="1"/>
  <c r="J43" i="8"/>
  <c r="L43" i="8"/>
  <c r="G44" i="8"/>
  <c r="K44" i="8" s="1"/>
  <c r="H44" i="8"/>
  <c r="I44" i="8" s="1"/>
  <c r="C46" i="8"/>
  <c r="I43" i="3"/>
  <c r="K41" i="1"/>
  <c r="H40" i="1"/>
  <c r="I40" i="1" s="1"/>
  <c r="J40" i="1" s="1"/>
  <c r="C43" i="1"/>
  <c r="E42" i="1"/>
  <c r="F42" i="1" s="1"/>
  <c r="G42" i="1" s="1"/>
  <c r="L43" i="3"/>
  <c r="E45" i="3"/>
  <c r="F45" i="3" s="1"/>
  <c r="J45" i="3" s="1"/>
  <c r="M39" i="1"/>
  <c r="L39" i="1"/>
  <c r="D47" i="8" l="1"/>
  <c r="E46" i="8"/>
  <c r="F46" i="8" s="1"/>
  <c r="M43" i="8"/>
  <c r="J44" i="8"/>
  <c r="L44" i="8"/>
  <c r="M44" i="8"/>
  <c r="H45" i="8"/>
  <c r="I45" i="8" s="1"/>
  <c r="G45" i="8"/>
  <c r="K45" i="8" s="1"/>
  <c r="C47" i="8"/>
  <c r="K45" i="3"/>
  <c r="K42" i="1"/>
  <c r="G45" i="3"/>
  <c r="H45" i="3" s="1"/>
  <c r="K44" i="3"/>
  <c r="G44" i="3"/>
  <c r="H44" i="3" s="1"/>
  <c r="I44" i="3" s="1"/>
  <c r="H41" i="1"/>
  <c r="I41" i="1" s="1"/>
  <c r="J41" i="1" s="1"/>
  <c r="C44" i="1"/>
  <c r="E43" i="1"/>
  <c r="F43" i="1" s="1"/>
  <c r="G43" i="1" s="1"/>
  <c r="E46" i="3"/>
  <c r="F46" i="3" s="1"/>
  <c r="J46" i="3" s="1"/>
  <c r="M40" i="1"/>
  <c r="L40" i="1"/>
  <c r="D48" i="8" l="1"/>
  <c r="E47" i="8"/>
  <c r="F47" i="8" s="1"/>
  <c r="J45" i="8"/>
  <c r="L45" i="8"/>
  <c r="M45" i="8"/>
  <c r="H46" i="8"/>
  <c r="I46" i="8" s="1"/>
  <c r="G46" i="8"/>
  <c r="K46" i="8" s="1"/>
  <c r="C48" i="8"/>
  <c r="K43" i="1"/>
  <c r="H42" i="1"/>
  <c r="C45" i="1"/>
  <c r="E44" i="1"/>
  <c r="F44" i="1" s="1"/>
  <c r="G44" i="1" s="1"/>
  <c r="I45" i="3"/>
  <c r="L44" i="3"/>
  <c r="G46" i="3"/>
  <c r="H46" i="3" s="1"/>
  <c r="E47" i="3"/>
  <c r="F47" i="3" s="1"/>
  <c r="J47" i="3" s="1"/>
  <c r="L45" i="3"/>
  <c r="M41" i="1"/>
  <c r="L41" i="1"/>
  <c r="D49" i="8" l="1"/>
  <c r="E48" i="8"/>
  <c r="F48" i="8" s="1"/>
  <c r="J46" i="8"/>
  <c r="M46" i="8"/>
  <c r="L46" i="8"/>
  <c r="G47" i="8"/>
  <c r="K47" i="8" s="1"/>
  <c r="H47" i="8"/>
  <c r="I47" i="8" s="1"/>
  <c r="C49" i="8"/>
  <c r="K44" i="1"/>
  <c r="I42" i="1"/>
  <c r="J42" i="1" s="1"/>
  <c r="H43" i="1"/>
  <c r="C46" i="1"/>
  <c r="E45" i="1"/>
  <c r="F45" i="1" s="1"/>
  <c r="G45" i="1" s="1"/>
  <c r="K46" i="3"/>
  <c r="I46" i="3"/>
  <c r="E48" i="3"/>
  <c r="F48" i="3" s="1"/>
  <c r="J48" i="3" s="1"/>
  <c r="L42" i="1"/>
  <c r="D50" i="8" l="1"/>
  <c r="E49" i="8"/>
  <c r="F49" i="8" s="1"/>
  <c r="J47" i="8"/>
  <c r="C50" i="8"/>
  <c r="L47" i="8"/>
  <c r="G48" i="8"/>
  <c r="K48" i="8" s="1"/>
  <c r="H48" i="8"/>
  <c r="I48" i="8" s="1"/>
  <c r="K45" i="1"/>
  <c r="M42" i="1"/>
  <c r="G48" i="3"/>
  <c r="H48" i="3" s="1"/>
  <c r="K47" i="3"/>
  <c r="G47" i="3"/>
  <c r="H47" i="3" s="1"/>
  <c r="I43" i="1"/>
  <c r="J43" i="1" s="1"/>
  <c r="H44" i="1"/>
  <c r="I44" i="1" s="1"/>
  <c r="C47" i="1"/>
  <c r="E46" i="1"/>
  <c r="F46" i="1" s="1"/>
  <c r="G46" i="1" s="1"/>
  <c r="L46" i="3"/>
  <c r="E49" i="3"/>
  <c r="F49" i="3" s="1"/>
  <c r="J49" i="3" s="1"/>
  <c r="L43" i="1"/>
  <c r="M47" i="8" l="1"/>
  <c r="D51" i="8"/>
  <c r="E50" i="8"/>
  <c r="F50" i="8" s="1"/>
  <c r="J48" i="8"/>
  <c r="L48" i="8"/>
  <c r="M48" i="8"/>
  <c r="H49" i="8"/>
  <c r="I49" i="8" s="1"/>
  <c r="G49" i="8"/>
  <c r="K49" i="8" s="1"/>
  <c r="C51" i="8"/>
  <c r="K46" i="1"/>
  <c r="L47" i="3"/>
  <c r="J44" i="1"/>
  <c r="G49" i="3"/>
  <c r="H49" i="3" s="1"/>
  <c r="M43" i="1"/>
  <c r="H45" i="1"/>
  <c r="I45" i="1" s="1"/>
  <c r="C48" i="1"/>
  <c r="E47" i="1"/>
  <c r="F47" i="1" s="1"/>
  <c r="G47" i="1" s="1"/>
  <c r="I47" i="3"/>
  <c r="I48" i="3" s="1"/>
  <c r="E50" i="3"/>
  <c r="F50" i="3" s="1"/>
  <c r="J50" i="3" s="1"/>
  <c r="L48" i="3"/>
  <c r="K48" i="3"/>
  <c r="M44" i="1"/>
  <c r="L44" i="1"/>
  <c r="D52" i="8" l="1"/>
  <c r="E51" i="8"/>
  <c r="F51" i="8" s="1"/>
  <c r="J49" i="8"/>
  <c r="L49" i="8"/>
  <c r="M49" i="8"/>
  <c r="G50" i="8"/>
  <c r="K50" i="8" s="1"/>
  <c r="H50" i="8"/>
  <c r="I50" i="8" s="1"/>
  <c r="C52" i="8"/>
  <c r="K47" i="1"/>
  <c r="J45" i="1"/>
  <c r="L46" i="1"/>
  <c r="H46" i="1"/>
  <c r="C49" i="1"/>
  <c r="E48" i="1"/>
  <c r="F48" i="1" s="1"/>
  <c r="G48" i="1" s="1"/>
  <c r="I49" i="3"/>
  <c r="E51" i="3"/>
  <c r="F51" i="3" s="1"/>
  <c r="J51" i="3" s="1"/>
  <c r="L49" i="3"/>
  <c r="K49" i="3"/>
  <c r="M45" i="1"/>
  <c r="L45" i="1"/>
  <c r="D53" i="8" l="1"/>
  <c r="E52" i="8"/>
  <c r="J50" i="8"/>
  <c r="G51" i="8"/>
  <c r="K51" i="8" s="1"/>
  <c r="H51" i="8"/>
  <c r="I51" i="8" s="1"/>
  <c r="F52" i="8"/>
  <c r="C53" i="8"/>
  <c r="M50" i="8"/>
  <c r="L50" i="8"/>
  <c r="K48" i="1"/>
  <c r="G51" i="3"/>
  <c r="H51" i="3" s="1"/>
  <c r="K50" i="3"/>
  <c r="G50" i="3"/>
  <c r="H50" i="3" s="1"/>
  <c r="I50" i="3" s="1"/>
  <c r="I46" i="1"/>
  <c r="J46" i="1" s="1"/>
  <c r="H47" i="1"/>
  <c r="I47" i="1" s="1"/>
  <c r="C50" i="1"/>
  <c r="E49" i="1"/>
  <c r="F49" i="1" s="1"/>
  <c r="G49" i="1" s="1"/>
  <c r="E52" i="3"/>
  <c r="F52" i="3" s="1"/>
  <c r="J52" i="3" s="1"/>
  <c r="D54" i="8" l="1"/>
  <c r="E53" i="8"/>
  <c r="F53" i="8" s="1"/>
  <c r="J51" i="8"/>
  <c r="L51" i="8"/>
  <c r="M51" i="8"/>
  <c r="C54" i="8"/>
  <c r="G52" i="8"/>
  <c r="K52" i="8" s="1"/>
  <c r="H52" i="8"/>
  <c r="I52" i="8" s="1"/>
  <c r="K49" i="1"/>
  <c r="J47" i="1"/>
  <c r="M46" i="1"/>
  <c r="L50" i="3"/>
  <c r="I51" i="3"/>
  <c r="L48" i="1"/>
  <c r="H48" i="1"/>
  <c r="I48" i="1" s="1"/>
  <c r="C51" i="1"/>
  <c r="E50" i="1"/>
  <c r="F50" i="1" s="1"/>
  <c r="G50" i="1" s="1"/>
  <c r="E53" i="3"/>
  <c r="F53" i="3" s="1"/>
  <c r="J53" i="3" s="1"/>
  <c r="L51" i="3"/>
  <c r="K51" i="3"/>
  <c r="M47" i="1"/>
  <c r="L47" i="1"/>
  <c r="D55" i="8" l="1"/>
  <c r="E54" i="8"/>
  <c r="F54" i="8" s="1"/>
  <c r="J52" i="8"/>
  <c r="L52" i="8"/>
  <c r="M52" i="8"/>
  <c r="C55" i="8"/>
  <c r="G53" i="8"/>
  <c r="K53" i="8" s="1"/>
  <c r="H53" i="8"/>
  <c r="I53" i="8" s="1"/>
  <c r="K50" i="1"/>
  <c r="J48" i="1"/>
  <c r="K52" i="3"/>
  <c r="G52" i="3"/>
  <c r="H52" i="3" s="1"/>
  <c r="I52" i="3" s="1"/>
  <c r="H49" i="1"/>
  <c r="I49" i="1" s="1"/>
  <c r="C52" i="1"/>
  <c r="E51" i="1"/>
  <c r="F51" i="1" s="1"/>
  <c r="G51" i="1" s="1"/>
  <c r="G53" i="3"/>
  <c r="H53" i="3" s="1"/>
  <c r="E54" i="3"/>
  <c r="F54" i="3" s="1"/>
  <c r="J54" i="3" s="1"/>
  <c r="M48" i="1"/>
  <c r="D56" i="8" l="1"/>
  <c r="E55" i="8"/>
  <c r="F55" i="8" s="1"/>
  <c r="J53" i="8"/>
  <c r="L53" i="8"/>
  <c r="G54" i="8"/>
  <c r="K54" i="8" s="1"/>
  <c r="H54" i="8"/>
  <c r="I54" i="8" s="1"/>
  <c r="C56" i="8"/>
  <c r="K54" i="3"/>
  <c r="K51" i="1"/>
  <c r="J49" i="1"/>
  <c r="G54" i="3"/>
  <c r="H54" i="3" s="1"/>
  <c r="L52" i="3"/>
  <c r="I53" i="3"/>
  <c r="H50" i="1"/>
  <c r="I50" i="1" s="1"/>
  <c r="C53" i="1"/>
  <c r="E52" i="1"/>
  <c r="F52" i="1" s="1"/>
  <c r="G52" i="1" s="1"/>
  <c r="K53" i="3"/>
  <c r="E55" i="3"/>
  <c r="F55" i="3" s="1"/>
  <c r="J55" i="3" s="1"/>
  <c r="M49" i="1"/>
  <c r="L49" i="1"/>
  <c r="L50" i="1"/>
  <c r="M53" i="8" l="1"/>
  <c r="D57" i="8"/>
  <c r="E56" i="8"/>
  <c r="F56" i="8" s="1"/>
  <c r="J54" i="8"/>
  <c r="L54" i="8"/>
  <c r="M54" i="8"/>
  <c r="G55" i="8"/>
  <c r="K55" i="8" s="1"/>
  <c r="H55" i="8"/>
  <c r="I55" i="8" s="1"/>
  <c r="C57" i="8"/>
  <c r="K55" i="3"/>
  <c r="K52" i="1"/>
  <c r="J50" i="1"/>
  <c r="G55" i="3"/>
  <c r="H55" i="3" s="1"/>
  <c r="I54" i="3"/>
  <c r="H51" i="1"/>
  <c r="I51" i="1" s="1"/>
  <c r="C54" i="1"/>
  <c r="E53" i="1"/>
  <c r="F53" i="1" s="1"/>
  <c r="G53" i="1" s="1"/>
  <c r="L53" i="3"/>
  <c r="L54" i="3"/>
  <c r="E56" i="3"/>
  <c r="F56" i="3" s="1"/>
  <c r="J56" i="3" s="1"/>
  <c r="M50" i="1"/>
  <c r="D58" i="8" l="1"/>
  <c r="E57" i="8"/>
  <c r="F57" i="8" s="1"/>
  <c r="J55" i="8"/>
  <c r="L55" i="8"/>
  <c r="M55" i="8"/>
  <c r="G56" i="8"/>
  <c r="K56" i="8" s="1"/>
  <c r="H56" i="8"/>
  <c r="I56" i="8" s="1"/>
  <c r="C58" i="8"/>
  <c r="I55" i="3"/>
  <c r="K53" i="1"/>
  <c r="J51" i="1"/>
  <c r="L52" i="1"/>
  <c r="H52" i="1"/>
  <c r="I52" i="1" s="1"/>
  <c r="C55" i="1"/>
  <c r="E54" i="1"/>
  <c r="F54" i="1" s="1"/>
  <c r="G54" i="1" s="1"/>
  <c r="L55" i="3"/>
  <c r="E57" i="3"/>
  <c r="F57" i="3" s="1"/>
  <c r="J57" i="3" s="1"/>
  <c r="M51" i="1"/>
  <c r="L51" i="1"/>
  <c r="D59" i="8" l="1"/>
  <c r="E58" i="8"/>
  <c r="F58" i="8" s="1"/>
  <c r="J56" i="8"/>
  <c r="L56" i="8"/>
  <c r="C59" i="8"/>
  <c r="H57" i="8"/>
  <c r="I57" i="8" s="1"/>
  <c r="G57" i="8"/>
  <c r="K57" i="8" s="1"/>
  <c r="K57" i="3"/>
  <c r="K54" i="1"/>
  <c r="J52" i="1"/>
  <c r="G57" i="3"/>
  <c r="H57" i="3" s="1"/>
  <c r="K56" i="3"/>
  <c r="G56" i="3"/>
  <c r="H56" i="3" s="1"/>
  <c r="I56" i="3" s="1"/>
  <c r="H53" i="1"/>
  <c r="I53" i="1" s="1"/>
  <c r="C56" i="1"/>
  <c r="E55" i="1"/>
  <c r="F55" i="1" s="1"/>
  <c r="G55" i="1" s="1"/>
  <c r="E58" i="3"/>
  <c r="F58" i="3" s="1"/>
  <c r="J58" i="3" s="1"/>
  <c r="M52" i="1"/>
  <c r="M56" i="8" l="1"/>
  <c r="D60" i="8"/>
  <c r="E59" i="8"/>
  <c r="F59" i="8" s="1"/>
  <c r="J57" i="8"/>
  <c r="L57" i="8"/>
  <c r="M57" i="8"/>
  <c r="C60" i="8"/>
  <c r="G58" i="8"/>
  <c r="K58" i="8" s="1"/>
  <c r="H58" i="8"/>
  <c r="I58" i="8" s="1"/>
  <c r="K58" i="3"/>
  <c r="K55" i="1"/>
  <c r="J53" i="1"/>
  <c r="I57" i="3"/>
  <c r="L56" i="3"/>
  <c r="G58" i="3"/>
  <c r="H58" i="3" s="1"/>
  <c r="H54" i="1"/>
  <c r="C57" i="1"/>
  <c r="E56" i="1"/>
  <c r="F56" i="1" s="1"/>
  <c r="G56" i="1" s="1"/>
  <c r="L57" i="3"/>
  <c r="E59" i="3"/>
  <c r="F59" i="3" s="1"/>
  <c r="J59" i="3" s="1"/>
  <c r="M53" i="1"/>
  <c r="L53" i="1"/>
  <c r="D61" i="8" l="1"/>
  <c r="E60" i="8"/>
  <c r="F60" i="8" s="1"/>
  <c r="J58" i="8"/>
  <c r="G59" i="8"/>
  <c r="K59" i="8" s="1"/>
  <c r="H59" i="8"/>
  <c r="I59" i="8" s="1"/>
  <c r="M58" i="8"/>
  <c r="L58" i="8"/>
  <c r="C61" i="8"/>
  <c r="I58" i="3"/>
  <c r="K56" i="1"/>
  <c r="I54" i="1"/>
  <c r="J54" i="1" s="1"/>
  <c r="L55" i="1"/>
  <c r="H55" i="1"/>
  <c r="I55" i="1" s="1"/>
  <c r="C58" i="1"/>
  <c r="E57" i="1"/>
  <c r="F57" i="1" s="1"/>
  <c r="G57" i="1" s="1"/>
  <c r="L58" i="3"/>
  <c r="E60" i="3"/>
  <c r="F60" i="3" s="1"/>
  <c r="J60" i="3" s="1"/>
  <c r="L54" i="1"/>
  <c r="D62" i="8" l="1"/>
  <c r="E61" i="8"/>
  <c r="F61" i="8" s="1"/>
  <c r="J59" i="8"/>
  <c r="L59" i="8"/>
  <c r="M59" i="8"/>
  <c r="C62" i="8"/>
  <c r="G60" i="8"/>
  <c r="K60" i="8" s="1"/>
  <c r="H60" i="8"/>
  <c r="I60" i="8" s="1"/>
  <c r="K60" i="3"/>
  <c r="K57" i="1"/>
  <c r="J55" i="1"/>
  <c r="K59" i="3"/>
  <c r="G59" i="3"/>
  <c r="H59" i="3" s="1"/>
  <c r="I59" i="3" s="1"/>
  <c r="G60" i="3"/>
  <c r="H60" i="3" s="1"/>
  <c r="M54" i="1"/>
  <c r="H56" i="1"/>
  <c r="I56" i="1" s="1"/>
  <c r="C59" i="1"/>
  <c r="E58" i="1"/>
  <c r="F58" i="1" s="1"/>
  <c r="G58" i="1" s="1"/>
  <c r="E61" i="3"/>
  <c r="F61" i="3" s="1"/>
  <c r="J61" i="3" s="1"/>
  <c r="M55" i="1"/>
  <c r="D63" i="8" l="1"/>
  <c r="E62" i="8"/>
  <c r="F62" i="8" s="1"/>
  <c r="J60" i="8"/>
  <c r="L60" i="8"/>
  <c r="C63" i="8"/>
  <c r="G61" i="8"/>
  <c r="K61" i="8" s="1"/>
  <c r="H61" i="8"/>
  <c r="I61" i="8" s="1"/>
  <c r="K58" i="1"/>
  <c r="J56" i="1"/>
  <c r="G61" i="3"/>
  <c r="H61" i="3" s="1"/>
  <c r="L59" i="3"/>
  <c r="H57" i="1"/>
  <c r="I57" i="1" s="1"/>
  <c r="C60" i="1"/>
  <c r="E59" i="1"/>
  <c r="F59" i="1" s="1"/>
  <c r="G59" i="1" s="1"/>
  <c r="I60" i="3"/>
  <c r="L60" i="3"/>
  <c r="E62" i="3"/>
  <c r="F62" i="3" s="1"/>
  <c r="J62" i="3" s="1"/>
  <c r="M56" i="1"/>
  <c r="L56" i="1"/>
  <c r="L57" i="1"/>
  <c r="M60" i="8" l="1"/>
  <c r="D64" i="8"/>
  <c r="E63" i="8"/>
  <c r="F63" i="8" s="1"/>
  <c r="J61" i="8"/>
  <c r="L61" i="8"/>
  <c r="M61" i="8"/>
  <c r="G62" i="8"/>
  <c r="K62" i="8" s="1"/>
  <c r="H62" i="8"/>
  <c r="I62" i="8" s="1"/>
  <c r="C64" i="8"/>
  <c r="K62" i="3"/>
  <c r="K59" i="1"/>
  <c r="J57" i="1"/>
  <c r="G62" i="3"/>
  <c r="H62" i="3" s="1"/>
  <c r="I61" i="3"/>
  <c r="H58" i="1"/>
  <c r="I58" i="1" s="1"/>
  <c r="C61" i="1"/>
  <c r="E60" i="1"/>
  <c r="F60" i="1" s="1"/>
  <c r="G60" i="1" s="1"/>
  <c r="E63" i="3"/>
  <c r="F63" i="3" s="1"/>
  <c r="J63" i="3" s="1"/>
  <c r="K61" i="3"/>
  <c r="L61" i="3"/>
  <c r="M57" i="1"/>
  <c r="D65" i="8" l="1"/>
  <c r="E64" i="8"/>
  <c r="F64" i="8" s="1"/>
  <c r="J62" i="8"/>
  <c r="L62" i="8"/>
  <c r="G63" i="8"/>
  <c r="K63" i="8" s="1"/>
  <c r="H63" i="8"/>
  <c r="I63" i="8" s="1"/>
  <c r="C65" i="8"/>
  <c r="K60" i="1"/>
  <c r="J58" i="1"/>
  <c r="G63" i="3"/>
  <c r="H63" i="3" s="1"/>
  <c r="I62" i="3"/>
  <c r="L59" i="1"/>
  <c r="H59" i="1"/>
  <c r="I59" i="1" s="1"/>
  <c r="C62" i="1"/>
  <c r="E61" i="1"/>
  <c r="F61" i="1" s="1"/>
  <c r="G61" i="1" s="1"/>
  <c r="L62" i="3"/>
  <c r="E64" i="3"/>
  <c r="F64" i="3" s="1"/>
  <c r="J64" i="3" s="1"/>
  <c r="M58" i="1"/>
  <c r="L58" i="1"/>
  <c r="M62" i="8" l="1"/>
  <c r="D66" i="8"/>
  <c r="E65" i="8"/>
  <c r="F65" i="8" s="1"/>
  <c r="J63" i="8"/>
  <c r="G64" i="8"/>
  <c r="K64" i="8" s="1"/>
  <c r="H64" i="8"/>
  <c r="I64" i="8" s="1"/>
  <c r="C66" i="8"/>
  <c r="M63" i="8"/>
  <c r="L63" i="8"/>
  <c r="K61" i="1"/>
  <c r="J59" i="1"/>
  <c r="G64" i="3"/>
  <c r="H64" i="3" s="1"/>
  <c r="I63" i="3"/>
  <c r="H60" i="1"/>
  <c r="I60" i="1" s="1"/>
  <c r="C63" i="1"/>
  <c r="E62" i="1"/>
  <c r="F62" i="1" s="1"/>
  <c r="G62" i="1" s="1"/>
  <c r="E65" i="3"/>
  <c r="F65" i="3" s="1"/>
  <c r="J65" i="3" s="1"/>
  <c r="L63" i="3"/>
  <c r="K63" i="3"/>
  <c r="M59" i="1"/>
  <c r="D67" i="8" l="1"/>
  <c r="E66" i="8"/>
  <c r="F66" i="8" s="1"/>
  <c r="J64" i="8"/>
  <c r="L64" i="8"/>
  <c r="H65" i="8"/>
  <c r="I65" i="8" s="1"/>
  <c r="G65" i="8"/>
  <c r="K65" i="8" s="1"/>
  <c r="C67" i="8"/>
  <c r="K62" i="1"/>
  <c r="J60" i="1"/>
  <c r="I64" i="3"/>
  <c r="G65" i="3"/>
  <c r="H65" i="3" s="1"/>
  <c r="H61" i="1"/>
  <c r="C64" i="1"/>
  <c r="E63" i="1"/>
  <c r="F63" i="1" s="1"/>
  <c r="G63" i="1" s="1"/>
  <c r="E66" i="3"/>
  <c r="F66" i="3" s="1"/>
  <c r="J66" i="3" s="1"/>
  <c r="K64" i="3"/>
  <c r="L64" i="3"/>
  <c r="M60" i="1"/>
  <c r="L60" i="1"/>
  <c r="M64" i="8" l="1"/>
  <c r="D68" i="8"/>
  <c r="E67" i="8"/>
  <c r="F67" i="8" s="1"/>
  <c r="J65" i="8"/>
  <c r="G66" i="8"/>
  <c r="K66" i="8" s="1"/>
  <c r="H66" i="8"/>
  <c r="I66" i="8" s="1"/>
  <c r="C68" i="8"/>
  <c r="L65" i="8"/>
  <c r="K63" i="1"/>
  <c r="I65" i="3"/>
  <c r="G66" i="3"/>
  <c r="H66" i="3" s="1"/>
  <c r="I61" i="1"/>
  <c r="J61" i="1" s="1"/>
  <c r="H62" i="1"/>
  <c r="I62" i="1" s="1"/>
  <c r="C65" i="1"/>
  <c r="E64" i="1"/>
  <c r="F64" i="1" s="1"/>
  <c r="G64" i="1" s="1"/>
  <c r="L65" i="3"/>
  <c r="E67" i="3"/>
  <c r="F67" i="3" s="1"/>
  <c r="J67" i="3" s="1"/>
  <c r="K65" i="3"/>
  <c r="L61" i="1"/>
  <c r="L62" i="1"/>
  <c r="M65" i="8" l="1"/>
  <c r="D69" i="8"/>
  <c r="E68" i="8"/>
  <c r="F68" i="8" s="1"/>
  <c r="J66" i="8"/>
  <c r="M66" i="8"/>
  <c r="L66" i="8"/>
  <c r="H67" i="8"/>
  <c r="I67" i="8" s="1"/>
  <c r="G67" i="8"/>
  <c r="K67" i="8" s="1"/>
  <c r="C69" i="8"/>
  <c r="K64" i="1"/>
  <c r="M61" i="1"/>
  <c r="I66" i="3"/>
  <c r="J62" i="1"/>
  <c r="H63" i="1"/>
  <c r="C66" i="1"/>
  <c r="E65" i="1"/>
  <c r="F65" i="1" s="1"/>
  <c r="G65" i="1" s="1"/>
  <c r="E68" i="3"/>
  <c r="F68" i="3" s="1"/>
  <c r="J68" i="3" s="1"/>
  <c r="L66" i="3"/>
  <c r="K66" i="3"/>
  <c r="M62" i="1"/>
  <c r="D70" i="8" l="1"/>
  <c r="E69" i="8"/>
  <c r="F69" i="8" s="1"/>
  <c r="J67" i="8"/>
  <c r="L67" i="8"/>
  <c r="M67" i="8"/>
  <c r="G68" i="8"/>
  <c r="K68" i="8" s="1"/>
  <c r="H68" i="8"/>
  <c r="I68" i="8" s="1"/>
  <c r="C70" i="8"/>
  <c r="K65" i="1"/>
  <c r="K67" i="3"/>
  <c r="G67" i="3"/>
  <c r="H67" i="3" s="1"/>
  <c r="I67" i="3" s="1"/>
  <c r="I63" i="1"/>
  <c r="J63" i="1" s="1"/>
  <c r="H64" i="1"/>
  <c r="C67" i="1"/>
  <c r="E66" i="1"/>
  <c r="F66" i="1" s="1"/>
  <c r="G66" i="1" s="1"/>
  <c r="E69" i="3"/>
  <c r="F69" i="3" s="1"/>
  <c r="J69" i="3" s="1"/>
  <c r="L63" i="1"/>
  <c r="D71" i="8" l="1"/>
  <c r="E70" i="8"/>
  <c r="F70" i="8" s="1"/>
  <c r="M68" i="8"/>
  <c r="G69" i="8"/>
  <c r="K69" i="8" s="1"/>
  <c r="H69" i="8"/>
  <c r="I69" i="8" s="1"/>
  <c r="C71" i="8"/>
  <c r="L68" i="8"/>
  <c r="K66" i="1"/>
  <c r="G69" i="3"/>
  <c r="H69" i="3" s="1"/>
  <c r="G68" i="3"/>
  <c r="H68" i="3" s="1"/>
  <c r="I68" i="3" s="1"/>
  <c r="L67" i="3"/>
  <c r="I64" i="1"/>
  <c r="J64" i="1" s="1"/>
  <c r="M63" i="1"/>
  <c r="L65" i="1"/>
  <c r="H65" i="1"/>
  <c r="I65" i="1" s="1"/>
  <c r="C68" i="1"/>
  <c r="E67" i="1"/>
  <c r="F67" i="1" s="1"/>
  <c r="G67" i="1" s="1"/>
  <c r="K68" i="3"/>
  <c r="E70" i="3"/>
  <c r="F70" i="3" s="1"/>
  <c r="J70" i="3" s="1"/>
  <c r="L64" i="1"/>
  <c r="D72" i="8" l="1"/>
  <c r="E71" i="8"/>
  <c r="F71" i="8" s="1"/>
  <c r="M69" i="8"/>
  <c r="J68" i="8"/>
  <c r="L69" i="8"/>
  <c r="C72" i="8"/>
  <c r="G70" i="8"/>
  <c r="K70" i="8" s="1"/>
  <c r="H70" i="8"/>
  <c r="I70" i="8" s="1"/>
  <c r="K67" i="1"/>
  <c r="I69" i="3"/>
  <c r="M64" i="1"/>
  <c r="J65" i="1"/>
  <c r="L68" i="3"/>
  <c r="H66" i="1"/>
  <c r="C69" i="1"/>
  <c r="E68" i="1"/>
  <c r="F68" i="1" s="1"/>
  <c r="G68" i="1" s="1"/>
  <c r="G70" i="3"/>
  <c r="H70" i="3" s="1"/>
  <c r="E71" i="3"/>
  <c r="F71" i="3" s="1"/>
  <c r="J71" i="3" s="1"/>
  <c r="K69" i="3"/>
  <c r="L69" i="3"/>
  <c r="M65" i="1"/>
  <c r="J69" i="8" l="1"/>
  <c r="D73" i="8"/>
  <c r="E72" i="8"/>
  <c r="F72" i="8" s="1"/>
  <c r="L70" i="8"/>
  <c r="G71" i="8"/>
  <c r="K71" i="8" s="1"/>
  <c r="H71" i="8"/>
  <c r="I71" i="8" s="1"/>
  <c r="C73" i="8"/>
  <c r="K68" i="1"/>
  <c r="I66" i="1"/>
  <c r="J66" i="1" s="1"/>
  <c r="H67" i="1"/>
  <c r="I67" i="1" s="1"/>
  <c r="C70" i="1"/>
  <c r="E69" i="1"/>
  <c r="F69" i="1" s="1"/>
  <c r="G69" i="1" s="1"/>
  <c r="K70" i="3"/>
  <c r="I70" i="3"/>
  <c r="E72" i="3"/>
  <c r="F72" i="3" s="1"/>
  <c r="J72" i="3" s="1"/>
  <c r="L66" i="1"/>
  <c r="J70" i="8" l="1"/>
  <c r="D74" i="8"/>
  <c r="E73" i="8"/>
  <c r="F73" i="8" s="1"/>
  <c r="M70" i="8"/>
  <c r="M71" i="8"/>
  <c r="C74" i="8"/>
  <c r="H72" i="8"/>
  <c r="I72" i="8" s="1"/>
  <c r="G72" i="8"/>
  <c r="K72" i="8" s="1"/>
  <c r="L71" i="8"/>
  <c r="K72" i="3"/>
  <c r="K69" i="1"/>
  <c r="M66" i="1"/>
  <c r="J67" i="1"/>
  <c r="G72" i="3"/>
  <c r="H72" i="3" s="1"/>
  <c r="K71" i="3"/>
  <c r="G71" i="3"/>
  <c r="H71" i="3" s="1"/>
  <c r="I71" i="3" s="1"/>
  <c r="L70" i="3"/>
  <c r="L68" i="1"/>
  <c r="H68" i="1"/>
  <c r="I68" i="1" s="1"/>
  <c r="C71" i="1"/>
  <c r="E70" i="1"/>
  <c r="F70" i="1" s="1"/>
  <c r="G70" i="1" s="1"/>
  <c r="E73" i="3"/>
  <c r="F73" i="3" s="1"/>
  <c r="J73" i="3" s="1"/>
  <c r="M67" i="1"/>
  <c r="L67" i="1"/>
  <c r="D75" i="8" l="1"/>
  <c r="E74" i="8"/>
  <c r="F74" i="8" s="1"/>
  <c r="J71" i="8"/>
  <c r="J72" i="8" s="1"/>
  <c r="L72" i="8"/>
  <c r="M72" i="8"/>
  <c r="H73" i="8"/>
  <c r="I73" i="8" s="1"/>
  <c r="G73" i="8"/>
  <c r="K73" i="8" s="1"/>
  <c r="C75" i="8"/>
  <c r="J68" i="1"/>
  <c r="K70" i="1"/>
  <c r="G73" i="3"/>
  <c r="H73" i="3" s="1"/>
  <c r="I72" i="3"/>
  <c r="L71" i="3"/>
  <c r="H69" i="1"/>
  <c r="I69" i="1" s="1"/>
  <c r="C72" i="1"/>
  <c r="E71" i="1"/>
  <c r="F71" i="1" s="1"/>
  <c r="G71" i="1" s="1"/>
  <c r="E74" i="3"/>
  <c r="F74" i="3" s="1"/>
  <c r="J74" i="3" s="1"/>
  <c r="L72" i="3"/>
  <c r="M68" i="1"/>
  <c r="E75" i="8" l="1"/>
  <c r="F75" i="8" s="1"/>
  <c r="H75" i="8" s="1"/>
  <c r="I75" i="8" s="1"/>
  <c r="I76" i="8" s="1"/>
  <c r="J73" i="8"/>
  <c r="L73" i="8"/>
  <c r="G74" i="8"/>
  <c r="K74" i="8" s="1"/>
  <c r="H74" i="8"/>
  <c r="I74" i="8" s="1"/>
  <c r="C16" i="7"/>
  <c r="C17" i="3"/>
  <c r="J69" i="1"/>
  <c r="K71" i="1"/>
  <c r="I73" i="3"/>
  <c r="G74" i="3"/>
  <c r="H74" i="3" s="1"/>
  <c r="H70" i="1"/>
  <c r="C73" i="1"/>
  <c r="E72" i="1"/>
  <c r="F72" i="1" s="1"/>
  <c r="G72" i="1" s="1"/>
  <c r="E75" i="3"/>
  <c r="F75" i="3" s="1"/>
  <c r="J75" i="3" s="1"/>
  <c r="L73" i="3"/>
  <c r="K73" i="3"/>
  <c r="M69" i="1"/>
  <c r="L69" i="1"/>
  <c r="C18" i="8" l="1"/>
  <c r="G75" i="8"/>
  <c r="K75" i="8" s="1"/>
  <c r="L75" i="8" s="1"/>
  <c r="M73" i="8"/>
  <c r="J74" i="8"/>
  <c r="M76" i="8"/>
  <c r="M74" i="8"/>
  <c r="L74" i="8"/>
  <c r="I74" i="3"/>
  <c r="C18" i="3" s="1"/>
  <c r="C19" i="3" s="1"/>
  <c r="K74" i="3"/>
  <c r="K72" i="1"/>
  <c r="G75" i="3"/>
  <c r="H75" i="3" s="1"/>
  <c r="H76" i="3" s="1"/>
  <c r="L76" i="3" s="1"/>
  <c r="I70" i="1"/>
  <c r="J70" i="1" s="1"/>
  <c r="L71" i="1"/>
  <c r="H71" i="1"/>
  <c r="C74" i="1"/>
  <c r="E73" i="1"/>
  <c r="F73" i="1" s="1"/>
  <c r="G73" i="1" s="1"/>
  <c r="L74" i="3"/>
  <c r="L70" i="1"/>
  <c r="C19" i="8" l="1"/>
  <c r="C20" i="8" s="1"/>
  <c r="C16" i="8"/>
  <c r="M75" i="8"/>
  <c r="C12" i="8" s="1"/>
  <c r="C13" i="8" s="1"/>
  <c r="C21" i="8" s="1"/>
  <c r="J75" i="8"/>
  <c r="J76" i="8" s="1"/>
  <c r="C14" i="8" s="1"/>
  <c r="K73" i="1"/>
  <c r="M70" i="1"/>
  <c r="I71" i="1"/>
  <c r="J71" i="1" s="1"/>
  <c r="H72" i="1"/>
  <c r="I72" i="1" s="1"/>
  <c r="C75" i="1"/>
  <c r="E75" i="1" s="1"/>
  <c r="F75" i="1" s="1"/>
  <c r="E74" i="1"/>
  <c r="F74" i="1" s="1"/>
  <c r="G74" i="1" s="1"/>
  <c r="I75" i="3"/>
  <c r="I76" i="3" s="1"/>
  <c r="C13" i="3" s="1"/>
  <c r="L75" i="3"/>
  <c r="C11" i="3" s="1"/>
  <c r="K75" i="3"/>
  <c r="C15" i="3"/>
  <c r="C17" i="8" l="1"/>
  <c r="G75" i="1"/>
  <c r="K75" i="1" s="1"/>
  <c r="C19" i="1"/>
  <c r="K74" i="1"/>
  <c r="M71" i="1"/>
  <c r="J72" i="1"/>
  <c r="L73" i="1"/>
  <c r="H73" i="1"/>
  <c r="C12" i="3"/>
  <c r="C20" i="3" s="1"/>
  <c r="C16" i="3"/>
  <c r="M72" i="1"/>
  <c r="L72" i="1"/>
  <c r="C20" i="1" l="1"/>
  <c r="C21" i="1" s="1"/>
  <c r="I73" i="1"/>
  <c r="J73" i="1" s="1"/>
  <c r="H74" i="1"/>
  <c r="L75" i="1"/>
  <c r="H75" i="1"/>
  <c r="I75" i="1" s="1"/>
  <c r="I76" i="1" s="1"/>
  <c r="M76" i="1" s="1"/>
  <c r="M73" i="1" l="1"/>
  <c r="I74" i="1"/>
  <c r="J74" i="1" s="1"/>
  <c r="J75" i="1" s="1"/>
  <c r="J76" i="1" s="1"/>
  <c r="C15" i="1" s="1"/>
  <c r="L74" i="1"/>
  <c r="M75" i="1"/>
  <c r="C17" i="1"/>
  <c r="M74" i="1" l="1"/>
  <c r="C13" i="1" s="1"/>
  <c r="C18" i="1" s="1"/>
  <c r="C14" i="1" l="1"/>
  <c r="E27" i="5"/>
  <c r="F27" i="5" s="1"/>
  <c r="E28" i="5"/>
  <c r="F28" i="5" s="1"/>
  <c r="E29" i="5" l="1"/>
  <c r="F29" i="5" s="1"/>
  <c r="H28" i="5"/>
  <c r="I28" i="5" s="1"/>
  <c r="H27" i="5"/>
  <c r="I27" i="5" s="1"/>
  <c r="J27" i="5" s="1"/>
  <c r="G27" i="5"/>
  <c r="K27" i="5" s="1"/>
  <c r="G28" i="5"/>
  <c r="K28" i="5" s="1"/>
  <c r="L28" i="5" l="1"/>
  <c r="M28" i="5"/>
  <c r="L27" i="5"/>
  <c r="M27" i="5"/>
  <c r="J28" i="5"/>
  <c r="E30" i="5"/>
  <c r="F30" i="5" s="1"/>
  <c r="G29" i="5"/>
  <c r="K29" i="5" s="1"/>
  <c r="H29" i="5"/>
  <c r="I29" i="5" s="1"/>
  <c r="L29" i="5" l="1"/>
  <c r="M29" i="5"/>
  <c r="E31" i="5"/>
  <c r="F31" i="5" s="1"/>
  <c r="J29" i="5"/>
  <c r="H30" i="5"/>
  <c r="I30" i="5" s="1"/>
  <c r="G30" i="5"/>
  <c r="K30" i="5" s="1"/>
  <c r="J30" i="5" l="1"/>
  <c r="L30" i="5"/>
  <c r="M30" i="5"/>
  <c r="E32" i="5"/>
  <c r="F32" i="5" s="1"/>
  <c r="H31" i="5"/>
  <c r="I31" i="5" s="1"/>
  <c r="G31" i="5"/>
  <c r="K31" i="5" s="1"/>
  <c r="J31" i="5" l="1"/>
  <c r="M31" i="5"/>
  <c r="L31" i="5"/>
  <c r="H32" i="5"/>
  <c r="I32" i="5" s="1"/>
  <c r="G32" i="5"/>
  <c r="K32" i="5" s="1"/>
  <c r="E33" i="5"/>
  <c r="F33" i="5" s="1"/>
  <c r="J32" i="5" l="1"/>
  <c r="L32" i="5"/>
  <c r="M32" i="5"/>
  <c r="E34" i="5"/>
  <c r="F34" i="5" s="1"/>
  <c r="G33" i="5"/>
  <c r="K33" i="5" s="1"/>
  <c r="H33" i="5"/>
  <c r="I33" i="5" s="1"/>
  <c r="J33" i="5" l="1"/>
  <c r="H34" i="5"/>
  <c r="I34" i="5" s="1"/>
  <c r="G34" i="5"/>
  <c r="K34" i="5" s="1"/>
  <c r="E35" i="5"/>
  <c r="F35" i="5" s="1"/>
  <c r="M33" i="5"/>
  <c r="L33" i="5"/>
  <c r="J34" i="5" l="1"/>
  <c r="L34" i="5"/>
  <c r="M34" i="5"/>
  <c r="E36" i="5"/>
  <c r="F36" i="5" s="1"/>
  <c r="G35" i="5"/>
  <c r="K35" i="5" s="1"/>
  <c r="H35" i="5"/>
  <c r="I35" i="5" s="1"/>
  <c r="J35" i="5" l="1"/>
  <c r="M35" i="5"/>
  <c r="L35" i="5"/>
  <c r="E37" i="5"/>
  <c r="F37" i="5" s="1"/>
  <c r="G36" i="5"/>
  <c r="K36" i="5" s="1"/>
  <c r="H36" i="5"/>
  <c r="I36" i="5" s="1"/>
  <c r="J36" i="5" l="1"/>
  <c r="L36" i="5"/>
  <c r="M36" i="5"/>
  <c r="G37" i="5"/>
  <c r="K37" i="5" s="1"/>
  <c r="H37" i="5"/>
  <c r="I37" i="5" s="1"/>
  <c r="E38" i="5"/>
  <c r="F38" i="5" s="1"/>
  <c r="J37" i="5" l="1"/>
  <c r="M37" i="5"/>
  <c r="L37" i="5"/>
  <c r="E39" i="5"/>
  <c r="F39" i="5" s="1"/>
  <c r="G38" i="5"/>
  <c r="K38" i="5" s="1"/>
  <c r="H38" i="5"/>
  <c r="I38" i="5" s="1"/>
  <c r="J38" i="5" l="1"/>
  <c r="L38" i="5"/>
  <c r="M38" i="5"/>
  <c r="G39" i="5"/>
  <c r="K39" i="5" s="1"/>
  <c r="H39" i="5"/>
  <c r="I39" i="5" s="1"/>
  <c r="E40" i="5"/>
  <c r="F40" i="5" s="1"/>
  <c r="J39" i="5" l="1"/>
  <c r="L39" i="5"/>
  <c r="M39" i="5"/>
  <c r="H40" i="5"/>
  <c r="I40" i="5" s="1"/>
  <c r="G40" i="5"/>
  <c r="K40" i="5" s="1"/>
  <c r="E41" i="5"/>
  <c r="F41" i="5" s="1"/>
  <c r="J40" i="5" l="1"/>
  <c r="M40" i="5"/>
  <c r="L40" i="5"/>
  <c r="H41" i="5"/>
  <c r="I41" i="5" s="1"/>
  <c r="G41" i="5"/>
  <c r="K41" i="5" s="1"/>
  <c r="E42" i="5"/>
  <c r="F42" i="5" s="1"/>
  <c r="J41" i="5" l="1"/>
  <c r="M41" i="5"/>
  <c r="L41" i="5"/>
  <c r="E43" i="5"/>
  <c r="F43" i="5" s="1"/>
  <c r="G42" i="5"/>
  <c r="K42" i="5" s="1"/>
  <c r="H42" i="5"/>
  <c r="I42" i="5" s="1"/>
  <c r="J42" i="5" l="1"/>
  <c r="H43" i="5"/>
  <c r="I43" i="5" s="1"/>
  <c r="G43" i="5"/>
  <c r="K43" i="5" s="1"/>
  <c r="L42" i="5"/>
  <c r="M42" i="5"/>
  <c r="E44" i="5"/>
  <c r="F44" i="5" s="1"/>
  <c r="J43" i="5" l="1"/>
  <c r="L43" i="5"/>
  <c r="M43" i="5"/>
  <c r="E45" i="5"/>
  <c r="F45" i="5" s="1"/>
  <c r="G44" i="5"/>
  <c r="K44" i="5" s="1"/>
  <c r="H44" i="5"/>
  <c r="I44" i="5" s="1"/>
  <c r="J44" i="5" s="1"/>
  <c r="M44" i="5" l="1"/>
  <c r="L44" i="5"/>
  <c r="G45" i="5"/>
  <c r="K45" i="5" s="1"/>
  <c r="H45" i="5"/>
  <c r="I45" i="5" s="1"/>
  <c r="J45" i="5" s="1"/>
  <c r="E46" i="5"/>
  <c r="F46" i="5" s="1"/>
  <c r="L45" i="5" l="1"/>
  <c r="M45" i="5"/>
  <c r="G46" i="5"/>
  <c r="K46" i="5" s="1"/>
  <c r="H46" i="5"/>
  <c r="I46" i="5" s="1"/>
  <c r="J46" i="5" s="1"/>
  <c r="E47" i="5"/>
  <c r="F47" i="5" s="1"/>
  <c r="M46" i="5" l="1"/>
  <c r="L46" i="5"/>
  <c r="E48" i="5"/>
  <c r="F48" i="5" s="1"/>
  <c r="G47" i="5"/>
  <c r="K47" i="5" s="1"/>
  <c r="H47" i="5"/>
  <c r="I47" i="5" s="1"/>
  <c r="J47" i="5" s="1"/>
  <c r="L47" i="5" l="1"/>
  <c r="M47" i="5"/>
  <c r="E49" i="5"/>
  <c r="F49" i="5" s="1"/>
  <c r="H48" i="5"/>
  <c r="I48" i="5" s="1"/>
  <c r="J48" i="5" s="1"/>
  <c r="G48" i="5"/>
  <c r="K48" i="5" s="1"/>
  <c r="L48" i="5" l="1"/>
  <c r="M48" i="5"/>
  <c r="E50" i="5"/>
  <c r="F50" i="5" s="1"/>
  <c r="H49" i="5"/>
  <c r="I49" i="5" s="1"/>
  <c r="J49" i="5" s="1"/>
  <c r="G49" i="5"/>
  <c r="K49" i="5" s="1"/>
  <c r="M49" i="5" l="1"/>
  <c r="L49" i="5"/>
  <c r="E51" i="5"/>
  <c r="F51" i="5" s="1"/>
  <c r="G50" i="5"/>
  <c r="K50" i="5" s="1"/>
  <c r="H50" i="5"/>
  <c r="I50" i="5" s="1"/>
  <c r="J50" i="5" s="1"/>
  <c r="H51" i="5" l="1"/>
  <c r="I51" i="5" s="1"/>
  <c r="J51" i="5" s="1"/>
  <c r="G51" i="5"/>
  <c r="K51" i="5" s="1"/>
  <c r="M50" i="5"/>
  <c r="L50" i="5"/>
  <c r="E52" i="5"/>
  <c r="F52" i="5" s="1"/>
  <c r="M51" i="5" l="1"/>
  <c r="L51" i="5"/>
  <c r="H52" i="5"/>
  <c r="I52" i="5" s="1"/>
  <c r="J52" i="5" s="1"/>
  <c r="G52" i="5"/>
  <c r="K52" i="5" s="1"/>
  <c r="E53" i="5"/>
  <c r="F53" i="5" s="1"/>
  <c r="H53" i="5" l="1"/>
  <c r="I53" i="5" s="1"/>
  <c r="J53" i="5" s="1"/>
  <c r="G53" i="5"/>
  <c r="K53" i="5" s="1"/>
  <c r="E54" i="5"/>
  <c r="F54" i="5" s="1"/>
  <c r="M52" i="5"/>
  <c r="L52" i="5"/>
  <c r="L53" i="5" l="1"/>
  <c r="M53" i="5"/>
  <c r="E55" i="5"/>
  <c r="F55" i="5" s="1"/>
  <c r="G54" i="5"/>
  <c r="K54" i="5" s="1"/>
  <c r="H54" i="5"/>
  <c r="I54" i="5" s="1"/>
  <c r="J54" i="5" s="1"/>
  <c r="M54" i="5" l="1"/>
  <c r="L54" i="5"/>
  <c r="H55" i="5"/>
  <c r="I55" i="5" s="1"/>
  <c r="J55" i="5" s="1"/>
  <c r="G55" i="5"/>
  <c r="K55" i="5" s="1"/>
  <c r="E56" i="5"/>
  <c r="F56" i="5" s="1"/>
  <c r="H56" i="5" l="1"/>
  <c r="I56" i="5" s="1"/>
  <c r="J56" i="5" s="1"/>
  <c r="G56" i="5"/>
  <c r="K56" i="5" s="1"/>
  <c r="E57" i="5"/>
  <c r="F57" i="5" s="1"/>
  <c r="L55" i="5"/>
  <c r="M55" i="5"/>
  <c r="L56" i="5" l="1"/>
  <c r="M56" i="5"/>
  <c r="E58" i="5"/>
  <c r="F58" i="5" s="1"/>
  <c r="G57" i="5"/>
  <c r="K57" i="5" s="1"/>
  <c r="H57" i="5"/>
  <c r="I57" i="5" s="1"/>
  <c r="J57" i="5" s="1"/>
  <c r="M57" i="5" l="1"/>
  <c r="L57" i="5"/>
  <c r="E59" i="5"/>
  <c r="F59" i="5" s="1"/>
  <c r="H58" i="5"/>
  <c r="I58" i="5" s="1"/>
  <c r="J58" i="5" s="1"/>
  <c r="G58" i="5"/>
  <c r="K58" i="5" s="1"/>
  <c r="L58" i="5" l="1"/>
  <c r="M58" i="5"/>
  <c r="E60" i="5"/>
  <c r="F60" i="5" s="1"/>
  <c r="H59" i="5"/>
  <c r="I59" i="5" s="1"/>
  <c r="J59" i="5" s="1"/>
  <c r="G59" i="5"/>
  <c r="K59" i="5" s="1"/>
  <c r="L59" i="5" l="1"/>
  <c r="M59" i="5"/>
  <c r="H60" i="5"/>
  <c r="I60" i="5" s="1"/>
  <c r="J60" i="5" s="1"/>
  <c r="G60" i="5"/>
  <c r="K60" i="5" s="1"/>
  <c r="E61" i="5"/>
  <c r="F61" i="5" s="1"/>
  <c r="L60" i="5" l="1"/>
  <c r="M60" i="5"/>
  <c r="G61" i="5"/>
  <c r="K61" i="5" s="1"/>
  <c r="H61" i="5"/>
  <c r="I61" i="5" s="1"/>
  <c r="J61" i="5" s="1"/>
  <c r="E62" i="5"/>
  <c r="F62" i="5" s="1"/>
  <c r="G62" i="5" l="1"/>
  <c r="K62" i="5" s="1"/>
  <c r="H62" i="5"/>
  <c r="I62" i="5" s="1"/>
  <c r="J62" i="5" s="1"/>
  <c r="E63" i="5"/>
  <c r="F63" i="5" s="1"/>
  <c r="M61" i="5"/>
  <c r="L61" i="5"/>
  <c r="L62" i="5" l="1"/>
  <c r="M62" i="5"/>
  <c r="G63" i="5"/>
  <c r="K63" i="5" s="1"/>
  <c r="H63" i="5"/>
  <c r="I63" i="5" s="1"/>
  <c r="J63" i="5" s="1"/>
  <c r="E64" i="5"/>
  <c r="F64" i="5" s="1"/>
  <c r="M63" i="5" l="1"/>
  <c r="L63" i="5"/>
  <c r="G64" i="5"/>
  <c r="K64" i="5" s="1"/>
  <c r="H64" i="5"/>
  <c r="I64" i="5" s="1"/>
  <c r="J64" i="5" s="1"/>
  <c r="E65" i="5"/>
  <c r="F65" i="5" s="1"/>
  <c r="M64" i="5" l="1"/>
  <c r="L64" i="5"/>
  <c r="E66" i="5"/>
  <c r="F66" i="5" s="1"/>
  <c r="H65" i="5"/>
  <c r="I65" i="5" s="1"/>
  <c r="J65" i="5" s="1"/>
  <c r="G65" i="5"/>
  <c r="K65" i="5" s="1"/>
  <c r="L65" i="5" l="1"/>
  <c r="M65" i="5"/>
  <c r="E67" i="5"/>
  <c r="F67" i="5" s="1"/>
  <c r="G66" i="5"/>
  <c r="K66" i="5" s="1"/>
  <c r="H66" i="5"/>
  <c r="I66" i="5" s="1"/>
  <c r="J66" i="5" s="1"/>
  <c r="L66" i="5" l="1"/>
  <c r="M66" i="5"/>
  <c r="E68" i="5"/>
  <c r="F68" i="5" s="1"/>
  <c r="H67" i="5"/>
  <c r="I67" i="5" s="1"/>
  <c r="J67" i="5" s="1"/>
  <c r="G67" i="5"/>
  <c r="K67" i="5" s="1"/>
  <c r="M67" i="5" l="1"/>
  <c r="L67" i="5"/>
  <c r="E69" i="5"/>
  <c r="F69" i="5" s="1"/>
  <c r="G68" i="5"/>
  <c r="K68" i="5" s="1"/>
  <c r="H68" i="5"/>
  <c r="I68" i="5" s="1"/>
  <c r="J68" i="5" s="1"/>
  <c r="L68" i="5" l="1"/>
  <c r="M68" i="5"/>
  <c r="E70" i="5"/>
  <c r="F70" i="5" s="1"/>
  <c r="H69" i="5"/>
  <c r="I69" i="5" s="1"/>
  <c r="J69" i="5" s="1"/>
  <c r="G69" i="5"/>
  <c r="K69" i="5" s="1"/>
  <c r="L69" i="5" l="1"/>
  <c r="M69" i="5"/>
  <c r="E71" i="5"/>
  <c r="F71" i="5" s="1"/>
  <c r="G70" i="5"/>
  <c r="K70" i="5" s="1"/>
  <c r="H70" i="5"/>
  <c r="I70" i="5" s="1"/>
  <c r="J70" i="5" s="1"/>
  <c r="L70" i="5" l="1"/>
  <c r="M70" i="5"/>
  <c r="E72" i="5"/>
  <c r="F72" i="5" s="1"/>
  <c r="G71" i="5"/>
  <c r="K71" i="5" s="1"/>
  <c r="H71" i="5"/>
  <c r="I71" i="5" s="1"/>
  <c r="J71" i="5" s="1"/>
  <c r="M71" i="5" l="1"/>
  <c r="L71" i="5"/>
  <c r="H72" i="5"/>
  <c r="I72" i="5" s="1"/>
  <c r="J72" i="5" s="1"/>
  <c r="G72" i="5"/>
  <c r="K72" i="5" s="1"/>
  <c r="E73" i="5"/>
  <c r="F73" i="5" s="1"/>
  <c r="M72" i="5" l="1"/>
  <c r="L72" i="5"/>
  <c r="E74" i="5"/>
  <c r="F74" i="5" s="1"/>
  <c r="G73" i="5"/>
  <c r="K73" i="5" s="1"/>
  <c r="H73" i="5"/>
  <c r="I73" i="5" s="1"/>
  <c r="J73" i="5" s="1"/>
  <c r="M73" i="5" l="1"/>
  <c r="L73" i="5"/>
  <c r="E76" i="5"/>
  <c r="F76" i="5" s="1"/>
  <c r="E75" i="5"/>
  <c r="F75" i="5" s="1"/>
  <c r="H74" i="5"/>
  <c r="I74" i="5" s="1"/>
  <c r="J74" i="5" s="1"/>
  <c r="G74" i="5"/>
  <c r="K74" i="5" s="1"/>
  <c r="M74" i="5" l="1"/>
  <c r="L74" i="5"/>
  <c r="H75" i="5"/>
  <c r="I75" i="5" s="1"/>
  <c r="J75" i="5" s="1"/>
  <c r="G75" i="5"/>
  <c r="K75" i="5" s="1"/>
  <c r="G76" i="5"/>
  <c r="K76" i="5" s="1"/>
  <c r="H76" i="5"/>
  <c r="I76" i="5" s="1"/>
  <c r="I79" i="5" s="1"/>
  <c r="M79" i="5" s="1"/>
  <c r="C20" i="5"/>
  <c r="J76" i="5" l="1"/>
  <c r="J78" i="5" s="1"/>
  <c r="J79" i="5" s="1"/>
  <c r="C16" i="5" s="1"/>
  <c r="M76" i="5"/>
  <c r="L76" i="5"/>
  <c r="C21" i="5"/>
  <c r="C22" i="5" s="1"/>
  <c r="M75" i="5"/>
  <c r="C14" i="5" s="1"/>
  <c r="L75" i="5"/>
  <c r="C19" i="5" l="1"/>
  <c r="C18" i="5"/>
  <c r="J77" i="5"/>
  <c r="C15" i="5"/>
  <c r="C2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  Nakka</author>
  </authors>
  <commentList>
    <comment ref="B2" authorId="0" shapeId="0" xr:uid="{B67AAECE-C94B-4DD5-8276-52CD79928070}">
      <text>
        <r>
          <rPr>
            <b/>
            <sz val="8"/>
            <color indexed="81"/>
            <rFont val="Tahoma"/>
            <family val="2"/>
          </rPr>
          <t>This data was obtained from a series of Strand Burner tests which examined burn rate at various pressures.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2" authorId="0" shapeId="0" xr:uid="{132BC770-8857-4F41-A8D3-D7CE8ABBA2FC}">
      <text>
        <r>
          <rPr>
            <b/>
            <sz val="8"/>
            <color indexed="81"/>
            <rFont val="Tahoma"/>
            <family val="2"/>
          </rPr>
          <t>This data was obtained from a series of Strand Burner tests which examined burn rate at various pressures.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" authorId="0" shapeId="0" xr:uid="{EFF6DD96-C89F-4300-BF63-72814FE84586}">
      <text>
        <r>
          <rPr>
            <b/>
            <sz val="8"/>
            <color indexed="81"/>
            <rFont val="Tahoma"/>
            <family val="2"/>
          </rPr>
          <t>This data was obtained from a series of Strand Burner tests which examined burn rate at various pressures.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6" authorId="0" shapeId="0" xr:uid="{C72A01E6-9BE2-4130-A80F-A1ECA4AA2E1F}">
      <text>
        <r>
          <rPr>
            <b/>
            <sz val="8"/>
            <color indexed="81"/>
            <rFont val="Tahoma"/>
            <family val="2"/>
          </rPr>
          <t>This data was obtained from a series of Strand Burner tests which examined the burn rate at various pressures.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<sst xmlns="http://schemas.openxmlformats.org/spreadsheetml/2006/main" count="420" uniqueCount="111">
  <si>
    <t>Motor Geometry</t>
  </si>
  <si>
    <t>Propellant Characteristics</t>
  </si>
  <si>
    <t>Density:</t>
  </si>
  <si>
    <t>lbs/in^3</t>
  </si>
  <si>
    <t>Burn Rate Coefficient:</t>
  </si>
  <si>
    <t>Burn Rate Exponent:</t>
  </si>
  <si>
    <t>Grain OD:</t>
  </si>
  <si>
    <t>Core Diameter:</t>
  </si>
  <si>
    <t>Core Length:</t>
  </si>
  <si>
    <t>inches</t>
  </si>
  <si>
    <t>C-Star:</t>
  </si>
  <si>
    <t>Kn</t>
  </si>
  <si>
    <t>m/s</t>
  </si>
  <si>
    <t>Grain Mass:</t>
  </si>
  <si>
    <t>lbs</t>
  </si>
  <si>
    <t>Grain Length:</t>
  </si>
  <si>
    <t>Thrust (lbf)</t>
  </si>
  <si>
    <t>Ignition&gt;</t>
  </si>
  <si>
    <t>Simulation Parameters</t>
  </si>
  <si>
    <t>Interval Distance DIA:</t>
  </si>
  <si>
    <t>Interval Distance Linear:</t>
  </si>
  <si>
    <t>End of Burn&gt;</t>
  </si>
  <si>
    <t>Performance Summary</t>
  </si>
  <si>
    <t>Total Impulse:</t>
  </si>
  <si>
    <t>lb-sec</t>
  </si>
  <si>
    <t>N-sec</t>
  </si>
  <si>
    <t>Average Thrust:</t>
  </si>
  <si>
    <t>Burn Time:</t>
  </si>
  <si>
    <t>sec</t>
  </si>
  <si>
    <t>lbf</t>
  </si>
  <si>
    <t>N</t>
  </si>
  <si>
    <t>Thrust (N)</t>
  </si>
  <si>
    <t>a</t>
  </si>
  <si>
    <t>n</t>
  </si>
  <si>
    <t>Pressure, psia</t>
  </si>
  <si>
    <t>psi, in/sec</t>
  </si>
  <si>
    <t>to</t>
  </si>
  <si>
    <t>KNSB Fine</t>
  </si>
  <si>
    <t>KNDX</t>
  </si>
  <si>
    <t>KNSU</t>
  </si>
  <si>
    <t>KNFR</t>
  </si>
  <si>
    <t>KNSB Fine, KNDX, KNFR and KNSU :</t>
  </si>
  <si>
    <t>Blending time (powdered) 1hr/100g. typical</t>
  </si>
  <si>
    <t>Grain temperature 20C.</t>
  </si>
  <si>
    <t>KNSB Coarse, KNMN Coarse &amp; KNER Coarse :</t>
  </si>
  <si>
    <t>[1]  Milled in electric coffee grinder for approx. 40 sec.</t>
  </si>
  <si>
    <t xml:space="preserve">[2]  As obtained (fine granular) or prills milled in electric </t>
  </si>
  <si>
    <t xml:space="preserve">     coffee grinder approx. 5 sec.</t>
  </si>
  <si>
    <t>[3]  Coarse burn rate parameters courtesy Magnus Gudnasen.</t>
  </si>
  <si>
    <t>Oxidizer particle size 60-125 mm majority [Note 1]</t>
  </si>
  <si>
    <t>Oxidizer particle size 150-250 mm majority [Note 2]</t>
  </si>
  <si>
    <t>Conditions for Applicability of Burn Rate Data</t>
  </si>
  <si>
    <t>Specfic Impulse:</t>
  </si>
  <si>
    <t>KNER Coarse  Note [3]</t>
  </si>
  <si>
    <t>KNSB Coarse, KNMN Coarse  Note [3]</t>
  </si>
  <si>
    <t>Core DIA (inches)</t>
  </si>
  <si>
    <t>Core Length (inches)</t>
  </si>
  <si>
    <t>Pressure (psi)</t>
  </si>
  <si>
    <t>Burn Rate (in/sec)</t>
  </si>
  <si>
    <t>Interval Time (sec)</t>
  </si>
  <si>
    <t>Time (sec)</t>
  </si>
  <si>
    <t>Interval Impulse (lb-sec)</t>
  </si>
  <si>
    <t>Interval #</t>
  </si>
  <si>
    <t>Pressure, MPa</t>
  </si>
  <si>
    <t>MPa, mm/sec</t>
  </si>
  <si>
    <t>Nozzle Throat Diameter:</t>
  </si>
  <si>
    <t>Thrust Coefficient</t>
  </si>
  <si>
    <t>Specific Heat Ratio:</t>
  </si>
  <si>
    <t>Nozzle Exit Pressure:</t>
  </si>
  <si>
    <t>psi</t>
  </si>
  <si>
    <t>Max Chamber Pressure:</t>
  </si>
  <si>
    <t>Max Thrust:</t>
  </si>
  <si>
    <t>Version</t>
  </si>
  <si>
    <t>Release Notes</t>
  </si>
  <si>
    <t>Release Date</t>
  </si>
  <si>
    <t>Initial Release</t>
  </si>
  <si>
    <t>Author</t>
  </si>
  <si>
    <t>A. Kuehn</t>
  </si>
  <si>
    <t>Corrected Thrust Equation for Nozzleless Motors</t>
  </si>
  <si>
    <t>Straight Section Length:</t>
  </si>
  <si>
    <t>Cored Portion Length:</t>
  </si>
  <si>
    <t>Overall Grain Length</t>
  </si>
  <si>
    <t>Grain DIA (inches)</t>
  </si>
  <si>
    <t>Number of Grains:</t>
  </si>
  <si>
    <t>Interval Distance:</t>
  </si>
  <si>
    <t>Added Cored End Burner Grain Type, Regular End Burner, and Bates Grains</t>
  </si>
  <si>
    <t>Class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</si>
  <si>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</si>
  <si>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</si>
  <si>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</si>
  <si>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</si>
  <si>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</si>
  <si>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</si>
  <si>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</si>
  <si>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</si>
  <si>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</si>
  <si>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</si>
  <si>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</si>
  <si>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</si>
  <si>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</si>
  <si>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</si>
  <si>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</si>
  <si>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</si>
  <si>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</si>
  <si>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S</t>
  </si>
  <si>
    <t>Total Impulse (N-sec)</t>
  </si>
  <si>
    <t>Motor Classifcation:</t>
  </si>
  <si>
    <t>Motor Classification:</t>
  </si>
  <si>
    <t>Motor Classication:</t>
  </si>
  <si>
    <t>Added automatic motor classification</t>
  </si>
  <si>
    <t>Corrected average thrust bug in cored end burner sheet and changed way average thrust was calculated for the other grain types as well to be more accurate.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</si>
</sst>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Bahnschrift"/>
      <family val="2"/>
    </font>
    <font>
      <sz val="12"/>
      <name val="Bahnschrift"/>
      <family val="2"/>
    </font>
    <font>
      <sz val="16"/>
      <name val="Bahnschrift"/>
      <family val="2"/>
    </font>
    <font>
      <b/>
      <sz val="11"/>
      <color theme="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2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latin typeface="Bahnschrift Light" panose="020B0502040204020203" pitchFamily="34" charset="0"/>
              </a:rPr>
              <a:t>Thrust vs. Time (lbf)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CoreBurner!$K$24</c:f>
              <c:strCache>
                <c:ptCount val="1"/>
                <c:pt idx="0">
                  <c:v>Thrust (lbf)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CoreBurner!$J$25:$J$76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3.8467916032294734E-2</c:v>
                </c:pt>
                <c:pt idx="2">
                  <c:v>7.6622775743434304E-2</c:v>
                </c:pt>
                <c:pt idx="3">
                  <c:v>0.11447494824447574</c:v>
                </c:pt>
                <c:pt idx="4">
                  <c:v>0.15203419393093098</c:v>
                </c:pt>
                <c:pt idx="5">
                  <c:v>0.18930971477541456</c:v>
                </c:pt>
                <c:pt idx="6">
                  <c:v>0.22631019932708446</c:v>
                </c:pt>
                <c:pt idx="7">
                  <c:v>0.2630438630888508</c:v>
                </c:pt>
                <c:pt idx="8">
                  <c:v>0.29951848484452032</c:v>
                </c:pt>
                <c:pt idx="9">
                  <c:v>0.3357414394257216</c:v>
                </c:pt>
                <c:pt idx="10">
                  <c:v>0.37171972733955616</c:v>
                </c:pt>
                <c:pt idx="11">
                  <c:v>0.40746000162001078</c:v>
                </c:pt>
                <c:pt idx="12">
                  <c:v>0.44296859221729423</c:v>
                </c:pt>
                <c:pt idx="13">
                  <c:v>0.4782515281978581</c:v>
                </c:pt>
                <c:pt idx="14">
                  <c:v>0.51331455799265202</c:v>
                </c:pt>
                <c:pt idx="15">
                  <c:v>0.54816316790111985</c:v>
                </c:pt>
                <c:pt idx="16">
                  <c:v>0.58280259903271525</c:v>
                </c:pt>
                <c:pt idx="17">
                  <c:v>0.61723786284561621</c:v>
                </c:pt>
                <c:pt idx="18">
                  <c:v>0.65147375542327257</c:v>
                </c:pt>
                <c:pt idx="19">
                  <c:v>0.68551487061296168</c:v>
                </c:pt>
                <c:pt idx="20">
                  <c:v>0.71936561213625849</c:v>
                </c:pt>
                <c:pt idx="21">
                  <c:v>0.7530302047689269</c:v>
                </c:pt>
                <c:pt idx="22">
                  <c:v>0.78651270467693013</c:v>
                </c:pt>
                <c:pt idx="23">
                  <c:v>0.81981700898581722</c:v>
                </c:pt>
                <c:pt idx="24">
                  <c:v>0.85294686465246927</c:v>
                </c:pt>
                <c:pt idx="25">
                  <c:v>0.88590587670093102</c:v>
                </c:pt>
                <c:pt idx="26">
                  <c:v>0.91869751587766102</c:v>
                </c:pt>
                <c:pt idx="27">
                  <c:v>0.95132512577589867</c:v>
                </c:pt>
                <c:pt idx="28">
                  <c:v>0.98379192947386773</c:v>
                </c:pt>
                <c:pt idx="29">
                  <c:v>1.0161010357271221</c:v>
                </c:pt>
                <c:pt idx="30">
                  <c:v>1.0482554447514278</c:v>
                </c:pt>
                <c:pt idx="31">
                  <c:v>1.0802580536290942</c:v>
                </c:pt>
                <c:pt idx="32">
                  <c:v>1.1121116613685644</c:v>
                </c:pt>
                <c:pt idx="33">
                  <c:v>1.143818973644315</c:v>
                </c:pt>
                <c:pt idx="34">
                  <c:v>1.1753826072416327</c:v>
                </c:pt>
                <c:pt idx="35">
                  <c:v>1.2068050942286297</c:v>
                </c:pt>
                <c:pt idx="36">
                  <c:v>1.2380888858758663</c:v>
                </c:pt>
                <c:pt idx="37">
                  <c:v>1.2692363563421678</c:v>
                </c:pt>
                <c:pt idx="38">
                  <c:v>1.3002498061436156</c:v>
                </c:pt>
                <c:pt idx="39">
                  <c:v>1.3311314654212467</c:v>
                </c:pt>
                <c:pt idx="40">
                  <c:v>1.3618834970216858</c:v>
                </c:pt>
                <c:pt idx="41">
                  <c:v>1.3925079994037586</c:v>
                </c:pt>
                <c:pt idx="42">
                  <c:v>1.4230070093830627</c:v>
                </c:pt>
                <c:pt idx="43">
                  <c:v>1.4533825047255058</c:v>
                </c:pt>
                <c:pt idx="44">
                  <c:v>1.4836364065999428</c:v>
                </c:pt>
                <c:pt idx="45">
                  <c:v>1.5137705818992426</c:v>
                </c:pt>
                <c:pt idx="46">
                  <c:v>1.5437868454383932</c:v>
                </c:pt>
                <c:pt idx="47">
                  <c:v>1.5736869620375862</c:v>
                </c:pt>
                <c:pt idx="48">
                  <c:v>1.6034726484976252</c:v>
                </c:pt>
                <c:pt idx="49">
                  <c:v>1.6331455754744466</c:v>
                </c:pt>
                <c:pt idx="50">
                  <c:v>1.6627073692590393</c:v>
                </c:pt>
                <c:pt idx="51">
                  <c:v>1.692269163043632</c:v>
                </c:pt>
              </c:numCache>
            </c:numRef>
          </c:xVal>
          <c:yVal>
            <c:numRef>
              <c:f>CoreBurner!$K$25:$K$76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11.490744164368444</c:v>
                </c:pt>
                <c:pt idx="2">
                  <c:v>12.028427194990972</c:v>
                </c:pt>
                <c:pt idx="3">
                  <c:v>12.574507878666445</c:v>
                </c:pt>
                <c:pt idx="4">
                  <c:v>13.12891616370174</c:v>
                </c:pt>
                <c:pt idx="5">
                  <c:v>13.691585547178573</c:v>
                </c:pt>
                <c:pt idx="6">
                  <c:v>14.262452869053714</c:v>
                </c:pt>
                <c:pt idx="7">
                  <c:v>14.841458118552298</c:v>
                </c:pt>
                <c:pt idx="8">
                  <c:v>15.428544252609031</c:v>
                </c:pt>
                <c:pt idx="9">
                  <c:v>16.023657025922006</c:v>
                </c:pt>
                <c:pt idx="10">
                  <c:v>16.626744832072891</c:v>
                </c:pt>
                <c:pt idx="11">
                  <c:v>17.237758555105604</c:v>
                </c:pt>
                <c:pt idx="12">
                  <c:v>17.856651430931979</c:v>
                </c:pt>
                <c:pt idx="13">
                  <c:v>18.483378917930349</c:v>
                </c:pt>
                <c:pt idx="14">
                  <c:v>19.117898576117778</c:v>
                </c:pt>
                <c:pt idx="15">
                  <c:v>19.760169954300533</c:v>
                </c:pt>
                <c:pt idx="16">
                  <c:v>20.410154484636088</c:v>
                </c:pt>
                <c:pt idx="17">
                  <c:v>21.067815384074482</c:v>
                </c:pt>
                <c:pt idx="18">
                  <c:v>21.73311756217872</c:v>
                </c:pt>
                <c:pt idx="19">
                  <c:v>22.406027534860058</c:v>
                </c:pt>
                <c:pt idx="20">
                  <c:v>23.086513343595552</c:v>
                </c:pt>
                <c:pt idx="21">
                  <c:v>23.774544479727979</c:v>
                </c:pt>
                <c:pt idx="22">
                  <c:v>24.470091813478511</c:v>
                </c:pt>
                <c:pt idx="23">
                  <c:v>25.173127527330092</c:v>
                </c:pt>
                <c:pt idx="24">
                  <c:v>25.883625053467064</c:v>
                </c:pt>
                <c:pt idx="25">
                  <c:v>26.601559014980271</c:v>
                </c:pt>
                <c:pt idx="26">
                  <c:v>27.326905170569852</c:v>
                </c:pt>
                <c:pt idx="27">
                  <c:v>28.059640362500048</c:v>
                </c:pt>
                <c:pt idx="28">
                  <c:v>28.79974246757709</c:v>
                </c:pt>
                <c:pt idx="29">
                  <c:v>29.547190350942454</c:v>
                </c:pt>
                <c:pt idx="30">
                  <c:v>30.301963822487096</c:v>
                </c:pt>
                <c:pt idx="31">
                  <c:v>31.064043595708903</c:v>
                </c:pt>
                <c:pt idx="32">
                  <c:v>31.833411248849366</c:v>
                </c:pt>
                <c:pt idx="33">
                  <c:v>32.610049188156843</c:v>
                </c:pt>
                <c:pt idx="34">
                  <c:v>33.39394061313682</c:v>
                </c:pt>
                <c:pt idx="35">
                  <c:v>34.185069483659902</c:v>
                </c:pt>
                <c:pt idx="36">
                  <c:v>34.983420488806104</c:v>
                </c:pt>
                <c:pt idx="37">
                  <c:v>35.788979017336459</c:v>
                </c:pt>
                <c:pt idx="38">
                  <c:v>36.601731129687728</c:v>
                </c:pt>
                <c:pt idx="39">
                  <c:v>37.421663531395509</c:v>
                </c:pt>
                <c:pt idx="40">
                  <c:v>38.248763547857237</c:v>
                </c:pt>
                <c:pt idx="41">
                  <c:v>39.08301910035334</c:v>
                </c:pt>
                <c:pt idx="42">
                  <c:v>39.924418683249712</c:v>
                </c:pt>
                <c:pt idx="43">
                  <c:v>40.772951342311735</c:v>
                </c:pt>
                <c:pt idx="44">
                  <c:v>41.628606654062864</c:v>
                </c:pt>
                <c:pt idx="45">
                  <c:v>42.491374706127424</c:v>
                </c:pt>
                <c:pt idx="46">
                  <c:v>43.361246078499349</c:v>
                </c:pt>
                <c:pt idx="47">
                  <c:v>44.238211825685582</c:v>
                </c:pt>
                <c:pt idx="48">
                  <c:v>45.122263459672183</c:v>
                </c:pt>
                <c:pt idx="49">
                  <c:v>46.0133929336683</c:v>
                </c:pt>
                <c:pt idx="50">
                  <c:v>46.911592626584451</c:v>
                </c:pt>
                <c:pt idx="51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5D-49A2-82C2-41EF893A1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637135"/>
        <c:axId val="693618623"/>
      </c:scatterChart>
      <c:valAx>
        <c:axId val="848637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618623"/>
        <c:crosses val="autoZero"/>
        <c:crossBetween val="midCat"/>
      </c:valAx>
      <c:valAx>
        <c:axId val="69361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(lbf)</a:t>
                </a:r>
              </a:p>
            </c:rich>
          </c:tx>
          <c:layout>
            <c:manualLayout>
              <c:xMode val="edge"/>
              <c:yMode val="edge"/>
              <c:x val="2.3350846468184472E-2"/>
              <c:y val="0.36338177180099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37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latin typeface="Bahnschrift Light" panose="020B0502040204020203" pitchFamily="34" charset="0"/>
              </a:rPr>
              <a:t>Thrust vs. Time (N)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Bates!$L$24</c:f>
              <c:strCache>
                <c:ptCount val="1"/>
                <c:pt idx="0">
                  <c:v>Thrust (N)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Bates!$J$25:$J$76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5.0386148199912224E-2</c:v>
                </c:pt>
                <c:pt idx="2">
                  <c:v>0.10037649159615958</c:v>
                </c:pt>
                <c:pt idx="3">
                  <c:v>0.149994643725962</c:v>
                </c:pt>
                <c:pt idx="4">
                  <c:v>0.19926242742636993</c:v>
                </c:pt>
                <c:pt idx="5">
                  <c:v>0.24820007731923543</c:v>
                </c:pt>
                <c:pt idx="6">
                  <c:v>0.29682641409203869</c:v>
                </c:pt>
                <c:pt idx="7">
                  <c:v>0.34515899529585969</c:v>
                </c:pt>
                <c:pt idx="8">
                  <c:v>0.39321424647300046</c:v>
                </c:pt>
                <c:pt idx="9">
                  <c:v>0.4410075757148228</c:v>
                </c:pt>
                <c:pt idx="10">
                  <c:v>0.48855347418819683</c:v>
                </c:pt>
                <c:pt idx="11">
                  <c:v>0.53586560472174605</c:v>
                </c:pt>
                <c:pt idx="12">
                  <c:v>0.58295688018483183</c:v>
                </c:pt>
                <c:pt idx="13">
                  <c:v>0.62983953310337182</c:v>
                </c:pt>
                <c:pt idx="14">
                  <c:v>0.67652517772224907</c:v>
                </c:pt>
                <c:pt idx="15">
                  <c:v>0.72302486553286183</c:v>
                </c:pt>
                <c:pt idx="16">
                  <c:v>0.76934913512749203</c:v>
                </c:pt>
                <c:pt idx="17">
                  <c:v>0.81550805711281116</c:v>
                </c:pt>
                <c:pt idx="18">
                  <c:v>0.86151127470765299</c:v>
                </c:pt>
                <c:pt idx="19">
                  <c:v>0.90736804056096099</c:v>
                </c:pt>
                <c:pt idx="20">
                  <c:v>0.95308725025123342</c:v>
                </c:pt>
                <c:pt idx="21">
                  <c:v>0.99867747286619635</c:v>
                </c:pt>
                <c:pt idx="22">
                  <c:v>1.0441469790087006</c:v>
                </c:pt>
                <c:pt idx="23">
                  <c:v>1.0895037665302716</c:v>
                </c:pt>
                <c:pt idx="24">
                  <c:v>1.1347555842559438</c:v>
                </c:pt>
                <c:pt idx="25">
                  <c:v>1.1799099539318736</c:v>
                </c:pt>
                <c:pt idx="26">
                  <c:v>1.224974190599829</c:v>
                </c:pt>
                <c:pt idx="27">
                  <c:v>1.2699554215792497</c:v>
                </c:pt>
                <c:pt idx="28">
                  <c:v>1.314860604217543</c:v>
                </c:pt>
                <c:pt idx="29">
                  <c:v>1.3596965425521295</c:v>
                </c:pt>
                <c:pt idx="30">
                  <c:v>1.4044699030130396</c:v>
                </c:pt>
                <c:pt idx="31">
                  <c:v>1.4491872292822714</c:v>
                </c:pt>
                <c:pt idx="32">
                  <c:v>1.4938549564153236</c:v>
                </c:pt>
                <c:pt idx="33">
                  <c:v>1.5384794243211215</c:v>
                </c:pt>
                <c:pt idx="34">
                  <c:v>1.5830668906887146</c:v>
                </c:pt>
                <c:pt idx="35">
                  <c:v>1.6276235434425173</c:v>
                </c:pt>
                <c:pt idx="36">
                  <c:v>1.6721555128023247</c:v>
                </c:pt>
                <c:pt idx="37">
                  <c:v>1.7166688830197714</c:v>
                </c:pt>
                <c:pt idx="38">
                  <c:v>1.7611697038592109</c:v>
                </c:pt>
                <c:pt idx="39">
                  <c:v>1.805664001888114</c:v>
                </c:pt>
                <c:pt idx="40">
                  <c:v>1.8501577916399572</c:v>
                </c:pt>
                <c:pt idx="41">
                  <c:v>1.8946570867111538</c:v>
                </c:pt>
                <c:pt idx="42">
                  <c:v>1.9391679108528568</c:v>
                </c:pt>
                <c:pt idx="43">
                  <c:v>1.9836963091183983</c:v>
                </c:pt>
                <c:pt idx="44">
                  <c:v>2.0282483591277534</c:v>
                </c:pt>
                <c:pt idx="45">
                  <c:v>2.0728301825117059</c:v>
                </c:pt>
                <c:pt idx="46">
                  <c:v>2.1174479566004076</c:v>
                </c:pt>
                <c:pt idx="47">
                  <c:v>2.1621079264237633</c:v>
                </c:pt>
                <c:pt idx="48">
                  <c:v>2.2068164170946267</c:v>
                </c:pt>
                <c:pt idx="49">
                  <c:v>2.2515798466502051</c:v>
                </c:pt>
                <c:pt idx="50">
                  <c:v>2.2964047394324294</c:v>
                </c:pt>
                <c:pt idx="51">
                  <c:v>2.3412296322146537</c:v>
                </c:pt>
              </c:numCache>
            </c:numRef>
          </c:xVal>
          <c:yVal>
            <c:numRef>
              <c:f>Bates!$L$25:$L$76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175.56255618750137</c:v>
                </c:pt>
                <c:pt idx="2">
                  <c:v>182.67355993790466</c:v>
                </c:pt>
                <c:pt idx="3">
                  <c:v>189.66941856454594</c:v>
                </c:pt>
                <c:pt idx="4">
                  <c:v>196.54316338962215</c:v>
                </c:pt>
                <c:pt idx="5">
                  <c:v>203.28823279656754</c:v>
                </c:pt>
                <c:pt idx="6">
                  <c:v>209.89844179675663</c:v>
                </c:pt>
                <c:pt idx="7">
                  <c:v>216.36795511746703</c:v>
                </c:pt>
                <c:pt idx="8">
                  <c:v>222.69126331054511</c:v>
                </c:pt>
                <c:pt idx="9">
                  <c:v>228.86316146640129</c:v>
                </c:pt>
                <c:pt idx="10">
                  <c:v>234.87873018654253</c:v>
                </c:pt>
                <c:pt idx="11">
                  <c:v>240.73331852346647</c:v>
                </c:pt>
                <c:pt idx="12">
                  <c:v>246.42252864214134</c:v>
                </c:pt>
                <c:pt idx="13">
                  <c:v>251.94220199457712</c:v>
                </c:pt>
                <c:pt idx="14">
                  <c:v>257.28840682981485</c:v>
                </c:pt>
                <c:pt idx="15">
                  <c:v>262.457426887255</c:v>
                </c:pt>
                <c:pt idx="16">
                  <c:v>267.44575114263256</c:v>
                </c:pt>
                <c:pt idx="17">
                  <c:v>272.25006449390139</c:v>
                </c:pt>
                <c:pt idx="18">
                  <c:v>276.86723928944389</c:v>
                </c:pt>
                <c:pt idx="19">
                  <c:v>281.29432761384857</c:v>
                </c:pt>
                <c:pt idx="20">
                  <c:v>285.52855425744571</c:v>
                </c:pt>
                <c:pt idx="21">
                  <c:v>289.56731030512333</c:v>
                </c:pt>
                <c:pt idx="22">
                  <c:v>293.40814728798881</c:v>
                </c:pt>
                <c:pt idx="23">
                  <c:v>297.04877184835237</c:v>
                </c:pt>
                <c:pt idx="24">
                  <c:v>300.48704087450272</c:v>
                </c:pt>
                <c:pt idx="25">
                  <c:v>303.72095706697365</c:v>
                </c:pt>
                <c:pt idx="26">
                  <c:v>306.74866490252549</c:v>
                </c:pt>
                <c:pt idx="27">
                  <c:v>309.56844696607078</c:v>
                </c:pt>
                <c:pt idx="28">
                  <c:v>312.17872062428643</c:v>
                </c:pt>
                <c:pt idx="29">
                  <c:v>314.57803501775174</c:v>
                </c:pt>
                <c:pt idx="30">
                  <c:v>316.76506835121421</c:v>
                </c:pt>
                <c:pt idx="31">
                  <c:v>318.73862546406104</c:v>
                </c:pt>
                <c:pt idx="32">
                  <c:v>320.49763566526644</c:v>
                </c:pt>
                <c:pt idx="33">
                  <c:v>322.04115081910322</c:v>
                </c:pt>
                <c:pt idx="34">
                  <c:v>323.3683436697072</c:v>
                </c:pt>
                <c:pt idx="35">
                  <c:v>324.47850639425042</c:v>
                </c:pt>
                <c:pt idx="36">
                  <c:v>325.37104937600486</c:v>
                </c:pt>
                <c:pt idx="37">
                  <c:v>326.04550019000044</c:v>
                </c:pt>
                <c:pt idx="38">
                  <c:v>326.50150279531226</c:v>
                </c:pt>
                <c:pt idx="39">
                  <c:v>326.73881692926864</c:v>
                </c:pt>
                <c:pt idx="40">
                  <c:v>326.75731770006865</c:v>
                </c:pt>
                <c:pt idx="41">
                  <c:v>326.55699537547827</c:v>
                </c:pt>
                <c:pt idx="42">
                  <c:v>326.13795536637144</c:v>
                </c:pt>
                <c:pt idx="43">
                  <c:v>325.50041840504218</c:v>
                </c:pt>
                <c:pt idx="44">
                  <c:v>324.6447209192969</c:v>
                </c:pt>
                <c:pt idx="45">
                  <c:v>323.57131560448352</c:v>
                </c:pt>
                <c:pt idx="46">
                  <c:v>322.28077219676908</c:v>
                </c:pt>
                <c:pt idx="47">
                  <c:v>320.77377845215847</c:v>
                </c:pt>
                <c:pt idx="48">
                  <c:v>319.05114133701022</c:v>
                </c:pt>
                <c:pt idx="49">
                  <c:v>317.11378843711117</c:v>
                </c:pt>
                <c:pt idx="50">
                  <c:v>314.96276959378196</c:v>
                </c:pt>
                <c:pt idx="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A6-410D-9040-279AAE7033A7}"/>
            </c:ext>
          </c:extLst>
        </c:ser>
        <c:ser>
          <c:idx val="0"/>
          <c:order val="1"/>
          <c:tx>
            <c:strRef>
              <c:f>Bates!$L$24</c:f>
              <c:strCache>
                <c:ptCount val="1"/>
                <c:pt idx="0">
                  <c:v>Thrust (N)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Bates!$J$25:$J$76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5.0386148199912224E-2</c:v>
                </c:pt>
                <c:pt idx="2">
                  <c:v>0.10037649159615958</c:v>
                </c:pt>
                <c:pt idx="3">
                  <c:v>0.149994643725962</c:v>
                </c:pt>
                <c:pt idx="4">
                  <c:v>0.19926242742636993</c:v>
                </c:pt>
                <c:pt idx="5">
                  <c:v>0.24820007731923543</c:v>
                </c:pt>
                <c:pt idx="6">
                  <c:v>0.29682641409203869</c:v>
                </c:pt>
                <c:pt idx="7">
                  <c:v>0.34515899529585969</c:v>
                </c:pt>
                <c:pt idx="8">
                  <c:v>0.39321424647300046</c:v>
                </c:pt>
                <c:pt idx="9">
                  <c:v>0.4410075757148228</c:v>
                </c:pt>
                <c:pt idx="10">
                  <c:v>0.48855347418819683</c:v>
                </c:pt>
                <c:pt idx="11">
                  <c:v>0.53586560472174605</c:v>
                </c:pt>
                <c:pt idx="12">
                  <c:v>0.58295688018483183</c:v>
                </c:pt>
                <c:pt idx="13">
                  <c:v>0.62983953310337182</c:v>
                </c:pt>
                <c:pt idx="14">
                  <c:v>0.67652517772224907</c:v>
                </c:pt>
                <c:pt idx="15">
                  <c:v>0.72302486553286183</c:v>
                </c:pt>
                <c:pt idx="16">
                  <c:v>0.76934913512749203</c:v>
                </c:pt>
                <c:pt idx="17">
                  <c:v>0.81550805711281116</c:v>
                </c:pt>
                <c:pt idx="18">
                  <c:v>0.86151127470765299</c:v>
                </c:pt>
                <c:pt idx="19">
                  <c:v>0.90736804056096099</c:v>
                </c:pt>
                <c:pt idx="20">
                  <c:v>0.95308725025123342</c:v>
                </c:pt>
                <c:pt idx="21">
                  <c:v>0.99867747286619635</c:v>
                </c:pt>
                <c:pt idx="22">
                  <c:v>1.0441469790087006</c:v>
                </c:pt>
                <c:pt idx="23">
                  <c:v>1.0895037665302716</c:v>
                </c:pt>
                <c:pt idx="24">
                  <c:v>1.1347555842559438</c:v>
                </c:pt>
                <c:pt idx="25">
                  <c:v>1.1799099539318736</c:v>
                </c:pt>
                <c:pt idx="26">
                  <c:v>1.224974190599829</c:v>
                </c:pt>
                <c:pt idx="27">
                  <c:v>1.2699554215792497</c:v>
                </c:pt>
                <c:pt idx="28">
                  <c:v>1.314860604217543</c:v>
                </c:pt>
                <c:pt idx="29">
                  <c:v>1.3596965425521295</c:v>
                </c:pt>
                <c:pt idx="30">
                  <c:v>1.4044699030130396</c:v>
                </c:pt>
                <c:pt idx="31">
                  <c:v>1.4491872292822714</c:v>
                </c:pt>
                <c:pt idx="32">
                  <c:v>1.4938549564153236</c:v>
                </c:pt>
                <c:pt idx="33">
                  <c:v>1.5384794243211215</c:v>
                </c:pt>
                <c:pt idx="34">
                  <c:v>1.5830668906887146</c:v>
                </c:pt>
                <c:pt idx="35">
                  <c:v>1.6276235434425173</c:v>
                </c:pt>
                <c:pt idx="36">
                  <c:v>1.6721555128023247</c:v>
                </c:pt>
                <c:pt idx="37">
                  <c:v>1.7166688830197714</c:v>
                </c:pt>
                <c:pt idx="38">
                  <c:v>1.7611697038592109</c:v>
                </c:pt>
                <c:pt idx="39">
                  <c:v>1.805664001888114</c:v>
                </c:pt>
                <c:pt idx="40">
                  <c:v>1.8501577916399572</c:v>
                </c:pt>
                <c:pt idx="41">
                  <c:v>1.8946570867111538</c:v>
                </c:pt>
                <c:pt idx="42">
                  <c:v>1.9391679108528568</c:v>
                </c:pt>
                <c:pt idx="43">
                  <c:v>1.9836963091183983</c:v>
                </c:pt>
                <c:pt idx="44">
                  <c:v>2.0282483591277534</c:v>
                </c:pt>
                <c:pt idx="45">
                  <c:v>2.0728301825117059</c:v>
                </c:pt>
                <c:pt idx="46">
                  <c:v>2.1174479566004076</c:v>
                </c:pt>
                <c:pt idx="47">
                  <c:v>2.1621079264237633</c:v>
                </c:pt>
                <c:pt idx="48">
                  <c:v>2.2068164170946267</c:v>
                </c:pt>
                <c:pt idx="49">
                  <c:v>2.2515798466502051</c:v>
                </c:pt>
                <c:pt idx="50">
                  <c:v>2.2964047394324294</c:v>
                </c:pt>
                <c:pt idx="51">
                  <c:v>2.3412296322146537</c:v>
                </c:pt>
              </c:numCache>
            </c:numRef>
          </c:xVal>
          <c:yVal>
            <c:numRef>
              <c:f>Bates!$L$25:$L$76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175.56255618750137</c:v>
                </c:pt>
                <c:pt idx="2">
                  <c:v>182.67355993790466</c:v>
                </c:pt>
                <c:pt idx="3">
                  <c:v>189.66941856454594</c:v>
                </c:pt>
                <c:pt idx="4">
                  <c:v>196.54316338962215</c:v>
                </c:pt>
                <c:pt idx="5">
                  <c:v>203.28823279656754</c:v>
                </c:pt>
                <c:pt idx="6">
                  <c:v>209.89844179675663</c:v>
                </c:pt>
                <c:pt idx="7">
                  <c:v>216.36795511746703</c:v>
                </c:pt>
                <c:pt idx="8">
                  <c:v>222.69126331054511</c:v>
                </c:pt>
                <c:pt idx="9">
                  <c:v>228.86316146640129</c:v>
                </c:pt>
                <c:pt idx="10">
                  <c:v>234.87873018654253</c:v>
                </c:pt>
                <c:pt idx="11">
                  <c:v>240.73331852346647</c:v>
                </c:pt>
                <c:pt idx="12">
                  <c:v>246.42252864214134</c:v>
                </c:pt>
                <c:pt idx="13">
                  <c:v>251.94220199457712</c:v>
                </c:pt>
                <c:pt idx="14">
                  <c:v>257.28840682981485</c:v>
                </c:pt>
                <c:pt idx="15">
                  <c:v>262.457426887255</c:v>
                </c:pt>
                <c:pt idx="16">
                  <c:v>267.44575114263256</c:v>
                </c:pt>
                <c:pt idx="17">
                  <c:v>272.25006449390139</c:v>
                </c:pt>
                <c:pt idx="18">
                  <c:v>276.86723928944389</c:v>
                </c:pt>
                <c:pt idx="19">
                  <c:v>281.29432761384857</c:v>
                </c:pt>
                <c:pt idx="20">
                  <c:v>285.52855425744571</c:v>
                </c:pt>
                <c:pt idx="21">
                  <c:v>289.56731030512333</c:v>
                </c:pt>
                <c:pt idx="22">
                  <c:v>293.40814728798881</c:v>
                </c:pt>
                <c:pt idx="23">
                  <c:v>297.04877184835237</c:v>
                </c:pt>
                <c:pt idx="24">
                  <c:v>300.48704087450272</c:v>
                </c:pt>
                <c:pt idx="25">
                  <c:v>303.72095706697365</c:v>
                </c:pt>
                <c:pt idx="26">
                  <c:v>306.74866490252549</c:v>
                </c:pt>
                <c:pt idx="27">
                  <c:v>309.56844696607078</c:v>
                </c:pt>
                <c:pt idx="28">
                  <c:v>312.17872062428643</c:v>
                </c:pt>
                <c:pt idx="29">
                  <c:v>314.57803501775174</c:v>
                </c:pt>
                <c:pt idx="30">
                  <c:v>316.76506835121421</c:v>
                </c:pt>
                <c:pt idx="31">
                  <c:v>318.73862546406104</c:v>
                </c:pt>
                <c:pt idx="32">
                  <c:v>320.49763566526644</c:v>
                </c:pt>
                <c:pt idx="33">
                  <c:v>322.04115081910322</c:v>
                </c:pt>
                <c:pt idx="34">
                  <c:v>323.3683436697072</c:v>
                </c:pt>
                <c:pt idx="35">
                  <c:v>324.47850639425042</c:v>
                </c:pt>
                <c:pt idx="36">
                  <c:v>325.37104937600486</c:v>
                </c:pt>
                <c:pt idx="37">
                  <c:v>326.04550019000044</c:v>
                </c:pt>
                <c:pt idx="38">
                  <c:v>326.50150279531226</c:v>
                </c:pt>
                <c:pt idx="39">
                  <c:v>326.73881692926864</c:v>
                </c:pt>
                <c:pt idx="40">
                  <c:v>326.75731770006865</c:v>
                </c:pt>
                <c:pt idx="41">
                  <c:v>326.55699537547827</c:v>
                </c:pt>
                <c:pt idx="42">
                  <c:v>326.13795536637144</c:v>
                </c:pt>
                <c:pt idx="43">
                  <c:v>325.50041840504218</c:v>
                </c:pt>
                <c:pt idx="44">
                  <c:v>324.6447209192969</c:v>
                </c:pt>
                <c:pt idx="45">
                  <c:v>323.57131560448352</c:v>
                </c:pt>
                <c:pt idx="46">
                  <c:v>322.28077219676908</c:v>
                </c:pt>
                <c:pt idx="47">
                  <c:v>320.77377845215847</c:v>
                </c:pt>
                <c:pt idx="48">
                  <c:v>319.05114133701022</c:v>
                </c:pt>
                <c:pt idx="49">
                  <c:v>317.11378843711117</c:v>
                </c:pt>
                <c:pt idx="50">
                  <c:v>314.96276959378196</c:v>
                </c:pt>
                <c:pt idx="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A6-410D-9040-279AAE703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637135"/>
        <c:axId val="693618623"/>
      </c:scatterChart>
      <c:valAx>
        <c:axId val="848637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618623"/>
        <c:crosses val="autoZero"/>
        <c:crossBetween val="midCat"/>
      </c:valAx>
      <c:valAx>
        <c:axId val="69361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(N)</a:t>
                </a:r>
              </a:p>
            </c:rich>
          </c:tx>
          <c:layout>
            <c:manualLayout>
              <c:xMode val="edge"/>
              <c:yMode val="edge"/>
              <c:x val="2.3350846468184472E-2"/>
              <c:y val="0.36338177180099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37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tx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latin typeface="Bahnschrift Light" panose="020B0502040204020203" pitchFamily="34" charset="0"/>
              </a:rPr>
              <a:t>Thrust vs. Time (N)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CoreBurner!$L$24</c:f>
              <c:strCache>
                <c:ptCount val="1"/>
                <c:pt idx="0">
                  <c:v>Thrust (N)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CoreBurner!$J$25:$J$76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3.8467916032294734E-2</c:v>
                </c:pt>
                <c:pt idx="2">
                  <c:v>7.6622775743434304E-2</c:v>
                </c:pt>
                <c:pt idx="3">
                  <c:v>0.11447494824447574</c:v>
                </c:pt>
                <c:pt idx="4">
                  <c:v>0.15203419393093098</c:v>
                </c:pt>
                <c:pt idx="5">
                  <c:v>0.18930971477541456</c:v>
                </c:pt>
                <c:pt idx="6">
                  <c:v>0.22631019932708446</c:v>
                </c:pt>
                <c:pt idx="7">
                  <c:v>0.2630438630888508</c:v>
                </c:pt>
                <c:pt idx="8">
                  <c:v>0.29951848484452032</c:v>
                </c:pt>
                <c:pt idx="9">
                  <c:v>0.3357414394257216</c:v>
                </c:pt>
                <c:pt idx="10">
                  <c:v>0.37171972733955616</c:v>
                </c:pt>
                <c:pt idx="11">
                  <c:v>0.40746000162001078</c:v>
                </c:pt>
                <c:pt idx="12">
                  <c:v>0.44296859221729423</c:v>
                </c:pt>
                <c:pt idx="13">
                  <c:v>0.4782515281978581</c:v>
                </c:pt>
                <c:pt idx="14">
                  <c:v>0.51331455799265202</c:v>
                </c:pt>
                <c:pt idx="15">
                  <c:v>0.54816316790111985</c:v>
                </c:pt>
                <c:pt idx="16">
                  <c:v>0.58280259903271525</c:v>
                </c:pt>
                <c:pt idx="17">
                  <c:v>0.61723786284561621</c:v>
                </c:pt>
                <c:pt idx="18">
                  <c:v>0.65147375542327257</c:v>
                </c:pt>
                <c:pt idx="19">
                  <c:v>0.68551487061296168</c:v>
                </c:pt>
                <c:pt idx="20">
                  <c:v>0.71936561213625849</c:v>
                </c:pt>
                <c:pt idx="21">
                  <c:v>0.7530302047689269</c:v>
                </c:pt>
                <c:pt idx="22">
                  <c:v>0.78651270467693013</c:v>
                </c:pt>
                <c:pt idx="23">
                  <c:v>0.81981700898581722</c:v>
                </c:pt>
                <c:pt idx="24">
                  <c:v>0.85294686465246927</c:v>
                </c:pt>
                <c:pt idx="25">
                  <c:v>0.88590587670093102</c:v>
                </c:pt>
                <c:pt idx="26">
                  <c:v>0.91869751587766102</c:v>
                </c:pt>
                <c:pt idx="27">
                  <c:v>0.95132512577589867</c:v>
                </c:pt>
                <c:pt idx="28">
                  <c:v>0.98379192947386773</c:v>
                </c:pt>
                <c:pt idx="29">
                  <c:v>1.0161010357271221</c:v>
                </c:pt>
                <c:pt idx="30">
                  <c:v>1.0482554447514278</c:v>
                </c:pt>
                <c:pt idx="31">
                  <c:v>1.0802580536290942</c:v>
                </c:pt>
                <c:pt idx="32">
                  <c:v>1.1121116613685644</c:v>
                </c:pt>
                <c:pt idx="33">
                  <c:v>1.143818973644315</c:v>
                </c:pt>
                <c:pt idx="34">
                  <c:v>1.1753826072416327</c:v>
                </c:pt>
                <c:pt idx="35">
                  <c:v>1.2068050942286297</c:v>
                </c:pt>
                <c:pt idx="36">
                  <c:v>1.2380888858758663</c:v>
                </c:pt>
                <c:pt idx="37">
                  <c:v>1.2692363563421678</c:v>
                </c:pt>
                <c:pt idx="38">
                  <c:v>1.3002498061436156</c:v>
                </c:pt>
                <c:pt idx="39">
                  <c:v>1.3311314654212467</c:v>
                </c:pt>
                <c:pt idx="40">
                  <c:v>1.3618834970216858</c:v>
                </c:pt>
                <c:pt idx="41">
                  <c:v>1.3925079994037586</c:v>
                </c:pt>
                <c:pt idx="42">
                  <c:v>1.4230070093830627</c:v>
                </c:pt>
                <c:pt idx="43">
                  <c:v>1.4533825047255058</c:v>
                </c:pt>
                <c:pt idx="44">
                  <c:v>1.4836364065999428</c:v>
                </c:pt>
                <c:pt idx="45">
                  <c:v>1.5137705818992426</c:v>
                </c:pt>
                <c:pt idx="46">
                  <c:v>1.5437868454383932</c:v>
                </c:pt>
                <c:pt idx="47">
                  <c:v>1.5736869620375862</c:v>
                </c:pt>
                <c:pt idx="48">
                  <c:v>1.6034726484976252</c:v>
                </c:pt>
                <c:pt idx="49">
                  <c:v>1.6331455754744466</c:v>
                </c:pt>
                <c:pt idx="50">
                  <c:v>1.6627073692590393</c:v>
                </c:pt>
                <c:pt idx="51">
                  <c:v>1.692269163043632</c:v>
                </c:pt>
              </c:numCache>
            </c:numRef>
          </c:xVal>
          <c:yVal>
            <c:numRef>
              <c:f>CoreBurner!$L$25:$L$76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51.018904089795896</c:v>
                </c:pt>
                <c:pt idx="2">
                  <c:v>53.40621674575992</c:v>
                </c:pt>
                <c:pt idx="3">
                  <c:v>55.830814981279019</c:v>
                </c:pt>
                <c:pt idx="4">
                  <c:v>58.292387766835731</c:v>
                </c:pt>
                <c:pt idx="5">
                  <c:v>60.790639829472866</c:v>
                </c:pt>
                <c:pt idx="6">
                  <c:v>63.325290738598497</c:v>
                </c:pt>
                <c:pt idx="7">
                  <c:v>65.896074046372206</c:v>
                </c:pt>
                <c:pt idx="8">
                  <c:v>68.502736481584108</c:v>
                </c:pt>
                <c:pt idx="9">
                  <c:v>71.145037195093707</c:v>
                </c:pt>
                <c:pt idx="10">
                  <c:v>73.822747054403649</c:v>
                </c:pt>
                <c:pt idx="11">
                  <c:v>76.535647984668884</c:v>
                </c:pt>
                <c:pt idx="12">
                  <c:v>79.283532353337989</c:v>
                </c:pt>
                <c:pt idx="13">
                  <c:v>82.066202395610759</c:v>
                </c:pt>
                <c:pt idx="14">
                  <c:v>84.883469677962935</c:v>
                </c:pt>
                <c:pt idx="15">
                  <c:v>87.735154597094379</c:v>
                </c:pt>
                <c:pt idx="16">
                  <c:v>90.621085911784235</c:v>
                </c:pt>
                <c:pt idx="17">
                  <c:v>93.541100305290712</c:v>
                </c:pt>
                <c:pt idx="18">
                  <c:v>96.495041976073523</c:v>
                </c:pt>
                <c:pt idx="19">
                  <c:v>99.482762254778663</c:v>
                </c:pt>
                <c:pt idx="20">
                  <c:v>102.50411924556425</c:v>
                </c:pt>
                <c:pt idx="21">
                  <c:v>105.55897748999223</c:v>
                </c:pt>
                <c:pt idx="22">
                  <c:v>108.6472076518446</c:v>
                </c:pt>
                <c:pt idx="23">
                  <c:v>111.76868622134562</c:v>
                </c:pt>
                <c:pt idx="24">
                  <c:v>114.92329523739377</c:v>
                </c:pt>
                <c:pt idx="25">
                  <c:v>118.11092202651241</c:v>
                </c:pt>
                <c:pt idx="26">
                  <c:v>121.33145895733016</c:v>
                </c:pt>
                <c:pt idx="27">
                  <c:v>124.58480320950022</c:v>
                </c:pt>
                <c:pt idx="28">
                  <c:v>127.8708565560423</c:v>
                </c:pt>
                <c:pt idx="29">
                  <c:v>131.18952515818449</c:v>
                </c:pt>
                <c:pt idx="30">
                  <c:v>134.54071937184273</c:v>
                </c:pt>
                <c:pt idx="31">
                  <c:v>137.92435356494755</c:v>
                </c:pt>
                <c:pt idx="32">
                  <c:v>141.3403459448912</c:v>
                </c:pt>
                <c:pt idx="33">
                  <c:v>144.78861839541639</c:v>
                </c:pt>
                <c:pt idx="34">
                  <c:v>148.2690963223275</c:v>
                </c:pt>
                <c:pt idx="35">
                  <c:v>151.78170850744999</c:v>
                </c:pt>
                <c:pt idx="36">
                  <c:v>155.32638697029913</c:v>
                </c:pt>
                <c:pt idx="37">
                  <c:v>158.90306683697389</c:v>
                </c:pt>
                <c:pt idx="38">
                  <c:v>162.51168621581354</c:v>
                </c:pt>
                <c:pt idx="39">
                  <c:v>166.15218607939607</c:v>
                </c:pt>
                <c:pt idx="40">
                  <c:v>169.82451015248614</c:v>
                </c:pt>
                <c:pt idx="41">
                  <c:v>173.52860480556885</c:v>
                </c:pt>
                <c:pt idx="42">
                  <c:v>177.26441895362873</c:v>
                </c:pt>
                <c:pt idx="43">
                  <c:v>181.03190395986411</c:v>
                </c:pt>
                <c:pt idx="44">
                  <c:v>184.83101354403914</c:v>
                </c:pt>
                <c:pt idx="45">
                  <c:v>188.66170369520577</c:v>
                </c:pt>
                <c:pt idx="46">
                  <c:v>192.52393258853712</c:v>
                </c:pt>
                <c:pt idx="47">
                  <c:v>196.417660506044</c:v>
                </c:pt>
                <c:pt idx="48">
                  <c:v>200.34284976094452</c:v>
                </c:pt>
                <c:pt idx="49">
                  <c:v>204.29946462548727</c:v>
                </c:pt>
                <c:pt idx="50">
                  <c:v>208.28747126203498</c:v>
                </c:pt>
                <c:pt idx="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3E-4720-B893-7C26FAFB0D1D}"/>
            </c:ext>
          </c:extLst>
        </c:ser>
        <c:ser>
          <c:idx val="0"/>
          <c:order val="1"/>
          <c:tx>
            <c:strRef>
              <c:f>CoreBurner!$L$24</c:f>
              <c:strCache>
                <c:ptCount val="1"/>
                <c:pt idx="0">
                  <c:v>Thrust (N)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CoreBurner!$J$25:$J$76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3.8467916032294734E-2</c:v>
                </c:pt>
                <c:pt idx="2">
                  <c:v>7.6622775743434304E-2</c:v>
                </c:pt>
                <c:pt idx="3">
                  <c:v>0.11447494824447574</c:v>
                </c:pt>
                <c:pt idx="4">
                  <c:v>0.15203419393093098</c:v>
                </c:pt>
                <c:pt idx="5">
                  <c:v>0.18930971477541456</c:v>
                </c:pt>
                <c:pt idx="6">
                  <c:v>0.22631019932708446</c:v>
                </c:pt>
                <c:pt idx="7">
                  <c:v>0.2630438630888508</c:v>
                </c:pt>
                <c:pt idx="8">
                  <c:v>0.29951848484452032</c:v>
                </c:pt>
                <c:pt idx="9">
                  <c:v>0.3357414394257216</c:v>
                </c:pt>
                <c:pt idx="10">
                  <c:v>0.37171972733955616</c:v>
                </c:pt>
                <c:pt idx="11">
                  <c:v>0.40746000162001078</c:v>
                </c:pt>
                <c:pt idx="12">
                  <c:v>0.44296859221729423</c:v>
                </c:pt>
                <c:pt idx="13">
                  <c:v>0.4782515281978581</c:v>
                </c:pt>
                <c:pt idx="14">
                  <c:v>0.51331455799265202</c:v>
                </c:pt>
                <c:pt idx="15">
                  <c:v>0.54816316790111985</c:v>
                </c:pt>
                <c:pt idx="16">
                  <c:v>0.58280259903271525</c:v>
                </c:pt>
                <c:pt idx="17">
                  <c:v>0.61723786284561621</c:v>
                </c:pt>
                <c:pt idx="18">
                  <c:v>0.65147375542327257</c:v>
                </c:pt>
                <c:pt idx="19">
                  <c:v>0.68551487061296168</c:v>
                </c:pt>
                <c:pt idx="20">
                  <c:v>0.71936561213625849</c:v>
                </c:pt>
                <c:pt idx="21">
                  <c:v>0.7530302047689269</c:v>
                </c:pt>
                <c:pt idx="22">
                  <c:v>0.78651270467693013</c:v>
                </c:pt>
                <c:pt idx="23">
                  <c:v>0.81981700898581722</c:v>
                </c:pt>
                <c:pt idx="24">
                  <c:v>0.85294686465246927</c:v>
                </c:pt>
                <c:pt idx="25">
                  <c:v>0.88590587670093102</c:v>
                </c:pt>
                <c:pt idx="26">
                  <c:v>0.91869751587766102</c:v>
                </c:pt>
                <c:pt idx="27">
                  <c:v>0.95132512577589867</c:v>
                </c:pt>
                <c:pt idx="28">
                  <c:v>0.98379192947386773</c:v>
                </c:pt>
                <c:pt idx="29">
                  <c:v>1.0161010357271221</c:v>
                </c:pt>
                <c:pt idx="30">
                  <c:v>1.0482554447514278</c:v>
                </c:pt>
                <c:pt idx="31">
                  <c:v>1.0802580536290942</c:v>
                </c:pt>
                <c:pt idx="32">
                  <c:v>1.1121116613685644</c:v>
                </c:pt>
                <c:pt idx="33">
                  <c:v>1.143818973644315</c:v>
                </c:pt>
                <c:pt idx="34">
                  <c:v>1.1753826072416327</c:v>
                </c:pt>
                <c:pt idx="35">
                  <c:v>1.2068050942286297</c:v>
                </c:pt>
                <c:pt idx="36">
                  <c:v>1.2380888858758663</c:v>
                </c:pt>
                <c:pt idx="37">
                  <c:v>1.2692363563421678</c:v>
                </c:pt>
                <c:pt idx="38">
                  <c:v>1.3002498061436156</c:v>
                </c:pt>
                <c:pt idx="39">
                  <c:v>1.3311314654212467</c:v>
                </c:pt>
                <c:pt idx="40">
                  <c:v>1.3618834970216858</c:v>
                </c:pt>
                <c:pt idx="41">
                  <c:v>1.3925079994037586</c:v>
                </c:pt>
                <c:pt idx="42">
                  <c:v>1.4230070093830627</c:v>
                </c:pt>
                <c:pt idx="43">
                  <c:v>1.4533825047255058</c:v>
                </c:pt>
                <c:pt idx="44">
                  <c:v>1.4836364065999428</c:v>
                </c:pt>
                <c:pt idx="45">
                  <c:v>1.5137705818992426</c:v>
                </c:pt>
                <c:pt idx="46">
                  <c:v>1.5437868454383932</c:v>
                </c:pt>
                <c:pt idx="47">
                  <c:v>1.5736869620375862</c:v>
                </c:pt>
                <c:pt idx="48">
                  <c:v>1.6034726484976252</c:v>
                </c:pt>
                <c:pt idx="49">
                  <c:v>1.6331455754744466</c:v>
                </c:pt>
                <c:pt idx="50">
                  <c:v>1.6627073692590393</c:v>
                </c:pt>
                <c:pt idx="51">
                  <c:v>1.692269163043632</c:v>
                </c:pt>
              </c:numCache>
            </c:numRef>
          </c:xVal>
          <c:yVal>
            <c:numRef>
              <c:f>CoreBurner!$L$25:$L$76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51.018904089795896</c:v>
                </c:pt>
                <c:pt idx="2">
                  <c:v>53.40621674575992</c:v>
                </c:pt>
                <c:pt idx="3">
                  <c:v>55.830814981279019</c:v>
                </c:pt>
                <c:pt idx="4">
                  <c:v>58.292387766835731</c:v>
                </c:pt>
                <c:pt idx="5">
                  <c:v>60.790639829472866</c:v>
                </c:pt>
                <c:pt idx="6">
                  <c:v>63.325290738598497</c:v>
                </c:pt>
                <c:pt idx="7">
                  <c:v>65.896074046372206</c:v>
                </c:pt>
                <c:pt idx="8">
                  <c:v>68.502736481584108</c:v>
                </c:pt>
                <c:pt idx="9">
                  <c:v>71.145037195093707</c:v>
                </c:pt>
                <c:pt idx="10">
                  <c:v>73.822747054403649</c:v>
                </c:pt>
                <c:pt idx="11">
                  <c:v>76.535647984668884</c:v>
                </c:pt>
                <c:pt idx="12">
                  <c:v>79.283532353337989</c:v>
                </c:pt>
                <c:pt idx="13">
                  <c:v>82.066202395610759</c:v>
                </c:pt>
                <c:pt idx="14">
                  <c:v>84.883469677962935</c:v>
                </c:pt>
                <c:pt idx="15">
                  <c:v>87.735154597094379</c:v>
                </c:pt>
                <c:pt idx="16">
                  <c:v>90.621085911784235</c:v>
                </c:pt>
                <c:pt idx="17">
                  <c:v>93.541100305290712</c:v>
                </c:pt>
                <c:pt idx="18">
                  <c:v>96.495041976073523</c:v>
                </c:pt>
                <c:pt idx="19">
                  <c:v>99.482762254778663</c:v>
                </c:pt>
                <c:pt idx="20">
                  <c:v>102.50411924556425</c:v>
                </c:pt>
                <c:pt idx="21">
                  <c:v>105.55897748999223</c:v>
                </c:pt>
                <c:pt idx="22">
                  <c:v>108.6472076518446</c:v>
                </c:pt>
                <c:pt idx="23">
                  <c:v>111.76868622134562</c:v>
                </c:pt>
                <c:pt idx="24">
                  <c:v>114.92329523739377</c:v>
                </c:pt>
                <c:pt idx="25">
                  <c:v>118.11092202651241</c:v>
                </c:pt>
                <c:pt idx="26">
                  <c:v>121.33145895733016</c:v>
                </c:pt>
                <c:pt idx="27">
                  <c:v>124.58480320950022</c:v>
                </c:pt>
                <c:pt idx="28">
                  <c:v>127.8708565560423</c:v>
                </c:pt>
                <c:pt idx="29">
                  <c:v>131.18952515818449</c:v>
                </c:pt>
                <c:pt idx="30">
                  <c:v>134.54071937184273</c:v>
                </c:pt>
                <c:pt idx="31">
                  <c:v>137.92435356494755</c:v>
                </c:pt>
                <c:pt idx="32">
                  <c:v>141.3403459448912</c:v>
                </c:pt>
                <c:pt idx="33">
                  <c:v>144.78861839541639</c:v>
                </c:pt>
                <c:pt idx="34">
                  <c:v>148.2690963223275</c:v>
                </c:pt>
                <c:pt idx="35">
                  <c:v>151.78170850744999</c:v>
                </c:pt>
                <c:pt idx="36">
                  <c:v>155.32638697029913</c:v>
                </c:pt>
                <c:pt idx="37">
                  <c:v>158.90306683697389</c:v>
                </c:pt>
                <c:pt idx="38">
                  <c:v>162.51168621581354</c:v>
                </c:pt>
                <c:pt idx="39">
                  <c:v>166.15218607939607</c:v>
                </c:pt>
                <c:pt idx="40">
                  <c:v>169.82451015248614</c:v>
                </c:pt>
                <c:pt idx="41">
                  <c:v>173.52860480556885</c:v>
                </c:pt>
                <c:pt idx="42">
                  <c:v>177.26441895362873</c:v>
                </c:pt>
                <c:pt idx="43">
                  <c:v>181.03190395986411</c:v>
                </c:pt>
                <c:pt idx="44">
                  <c:v>184.83101354403914</c:v>
                </c:pt>
                <c:pt idx="45">
                  <c:v>188.66170369520577</c:v>
                </c:pt>
                <c:pt idx="46">
                  <c:v>192.52393258853712</c:v>
                </c:pt>
                <c:pt idx="47">
                  <c:v>196.417660506044</c:v>
                </c:pt>
                <c:pt idx="48">
                  <c:v>200.34284976094452</c:v>
                </c:pt>
                <c:pt idx="49">
                  <c:v>204.29946462548727</c:v>
                </c:pt>
                <c:pt idx="50">
                  <c:v>208.28747126203498</c:v>
                </c:pt>
                <c:pt idx="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3E-4720-B893-7C26FAFB0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637135"/>
        <c:axId val="693618623"/>
      </c:scatterChart>
      <c:valAx>
        <c:axId val="848637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618623"/>
        <c:crosses val="autoZero"/>
        <c:crossBetween val="midCat"/>
      </c:valAx>
      <c:valAx>
        <c:axId val="69361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(N)</a:t>
                </a:r>
              </a:p>
            </c:rich>
          </c:tx>
          <c:layout>
            <c:manualLayout>
              <c:xMode val="edge"/>
              <c:yMode val="edge"/>
              <c:x val="2.3350846468184472E-2"/>
              <c:y val="0.36338177180099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37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tx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latin typeface="Bahnschrift Light" panose="020B0502040204020203" pitchFamily="34" charset="0"/>
              </a:rPr>
              <a:t>Thrust vs. Time (lbf)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Nozzleless!$J$24</c:f>
              <c:strCache>
                <c:ptCount val="1"/>
                <c:pt idx="0">
                  <c:v>Thrust (lbf)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Nozzleless!$I$25:$I$76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3.5968133808146389E-2</c:v>
                </c:pt>
                <c:pt idx="2">
                  <c:v>7.2208412728690774E-2</c:v>
                </c:pt>
                <c:pt idx="3">
                  <c:v>0.10871538116284601</c:v>
                </c:pt>
                <c:pt idx="4">
                  <c:v>0.14548382647536565</c:v>
                </c:pt>
                <c:pt idx="5">
                  <c:v>0.18250876225265839</c:v>
                </c:pt>
                <c:pt idx="6">
                  <c:v>0.21978541310172628</c:v>
                </c:pt>
                <c:pt idx="7">
                  <c:v>0.25730920081424535</c:v>
                </c:pt>
                <c:pt idx="8">
                  <c:v>0.29507573174381746</c:v>
                </c:pt>
                <c:pt idx="9">
                  <c:v>0.33308078526445678</c:v>
                </c:pt>
                <c:pt idx="10">
                  <c:v>0.37132030319537784</c:v>
                </c:pt>
                <c:pt idx="11">
                  <c:v>0.40979038009163432</c:v>
                </c:pt>
                <c:pt idx="12">
                  <c:v>0.44848725431254521</c:v>
                </c:pt>
                <c:pt idx="13">
                  <c:v>0.48740729979047237</c:v>
                </c:pt>
                <c:pt idx="14">
                  <c:v>0.52654701843166685</c:v>
                </c:pt>
                <c:pt idx="15">
                  <c:v>0.56590303308880874</c:v>
                </c:pt>
                <c:pt idx="16">
                  <c:v>0.60547208105171679</c:v>
                </c:pt>
                <c:pt idx="17">
                  <c:v>0.64525100800866209</c:v>
                </c:pt>
                <c:pt idx="18">
                  <c:v>0.68523676243591081</c:v>
                </c:pt>
                <c:pt idx="19">
                  <c:v>0.7254263903776611</c:v>
                </c:pt>
                <c:pt idx="20">
                  <c:v>0.76581703058251671</c:v>
                </c:pt>
                <c:pt idx="21">
                  <c:v>0.80640590996613493</c:v>
                </c:pt>
                <c:pt idx="22">
                  <c:v>0.84719033937276667</c:v>
                </c:pt>
                <c:pt idx="23">
                  <c:v>0.88816770961112324</c:v>
                </c:pt>
                <c:pt idx="24">
                  <c:v>0.92933548774241115</c:v>
                </c:pt>
                <c:pt idx="25">
                  <c:v>0.97069121360050936</c:v>
                </c:pt>
                <c:pt idx="26">
                  <c:v>1.0122324965261595</c:v>
                </c:pt>
                <c:pt idx="27">
                  <c:v>1.0539570122987278</c:v>
                </c:pt>
                <c:pt idx="28">
                  <c:v>1.0958625002506042</c:v>
                </c:pt>
                <c:pt idx="29">
                  <c:v>1.1379467605506517</c:v>
                </c:pt>
                <c:pt idx="30">
                  <c:v>1.1802076516443252</c:v>
                </c:pt>
                <c:pt idx="31">
                  <c:v>1.222643087839161</c:v>
                </c:pt>
                <c:pt idx="32">
                  <c:v>1.2652510370253116</c:v>
                </c:pt>
                <c:pt idx="33">
                  <c:v>1.308029518521677</c:v>
                </c:pt>
                <c:pt idx="34">
                  <c:v>1.3509766010389712</c:v>
                </c:pt>
                <c:pt idx="35">
                  <c:v>1.3940904007517803</c:v>
                </c:pt>
                <c:pt idx="36">
                  <c:v>1.4373690794723089</c:v>
                </c:pt>
                <c:pt idx="37">
                  <c:v>1.4808108429191007</c:v>
                </c:pt>
                <c:pt idx="38">
                  <c:v>1.5244139390745461</c:v>
                </c:pt>
                <c:pt idx="39">
                  <c:v>1.5681766566254725</c:v>
                </c:pt>
                <c:pt idx="40">
                  <c:v>1.6120973234815537</c:v>
                </c:pt>
                <c:pt idx="41">
                  <c:v>1.6561743053666702</c:v>
                </c:pt>
                <c:pt idx="42">
                  <c:v>1.7004060044787177</c:v>
                </c:pt>
                <c:pt idx="43">
                  <c:v>1.7447908582136962</c:v>
                </c:pt>
                <c:pt idx="44">
                  <c:v>1.7893273379502115</c:v>
                </c:pt>
                <c:pt idx="45">
                  <c:v>1.834013947890804</c:v>
                </c:pt>
                <c:pt idx="46">
                  <c:v>1.8788492239567702</c:v>
                </c:pt>
                <c:pt idx="47">
                  <c:v>1.9238317327333812</c:v>
                </c:pt>
                <c:pt idx="48">
                  <c:v>1.968960070462612</c:v>
                </c:pt>
                <c:pt idx="49">
                  <c:v>2.0142328620806986</c:v>
                </c:pt>
                <c:pt idx="50">
                  <c:v>2.0596487602980167</c:v>
                </c:pt>
                <c:pt idx="51">
                  <c:v>2.1050646585153348</c:v>
                </c:pt>
              </c:numCache>
            </c:numRef>
          </c:xVal>
          <c:yVal>
            <c:numRef>
              <c:f>Nozzleless!$J$25:$J$76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24.731384470607114</c:v>
                </c:pt>
                <c:pt idx="2">
                  <c:v>25.135381060181626</c:v>
                </c:pt>
                <c:pt idx="3">
                  <c:v>25.531419142056425</c:v>
                </c:pt>
                <c:pt idx="4">
                  <c:v>25.919629419699053</c:v>
                </c:pt>
                <c:pt idx="5">
                  <c:v>26.300134836310715</c:v>
                </c:pt>
                <c:pt idx="6">
                  <c:v>26.673051214074562</c:v>
                </c:pt>
                <c:pt idx="7">
                  <c:v>27.038487826597098</c:v>
                </c:pt>
                <c:pt idx="8">
                  <c:v>27.396547912938704</c:v>
                </c:pt>
                <c:pt idx="9">
                  <c:v>27.747329140404251</c:v>
                </c:pt>
                <c:pt idx="10">
                  <c:v>28.090924022242536</c:v>
                </c:pt>
                <c:pt idx="11">
                  <c:v>28.427420295545584</c:v>
                </c:pt>
                <c:pt idx="12">
                  <c:v>28.75690126391671</c:v>
                </c:pt>
                <c:pt idx="13">
                  <c:v>29.079446108867259</c:v>
                </c:pt>
                <c:pt idx="14">
                  <c:v>29.395130173382828</c:v>
                </c:pt>
                <c:pt idx="15">
                  <c:v>29.704025220659261</c:v>
                </c:pt>
                <c:pt idx="16">
                  <c:v>30.006199670633119</c:v>
                </c:pt>
                <c:pt idx="17">
                  <c:v>30.301718816606535</c:v>
                </c:pt>
                <c:pt idx="18">
                  <c:v>30.590645023989708</c:v>
                </c:pt>
                <c:pt idx="19">
                  <c:v>30.873037912944451</c:v>
                </c:pt>
                <c:pt idx="20">
                  <c:v>31.148954526504298</c:v>
                </c:pt>
                <c:pt idx="21">
                  <c:v>31.418449485567663</c:v>
                </c:pt>
                <c:pt idx="22">
                  <c:v>31.681575132002756</c:v>
                </c:pt>
                <c:pt idx="23">
                  <c:v>31.938381660967476</c:v>
                </c:pt>
                <c:pt idx="24">
                  <c:v>32.188917243427575</c:v>
                </c:pt>
                <c:pt idx="25">
                  <c:v>32.433228139751392</c:v>
                </c:pt>
                <c:pt idx="26">
                  <c:v>32.671358805167969</c:v>
                </c:pt>
                <c:pt idx="27">
                  <c:v>32.903351987794494</c:v>
                </c:pt>
                <c:pt idx="28">
                  <c:v>33.129248819866312</c:v>
                </c:pt>
                <c:pt idx="29">
                  <c:v>33.349088902740988</c:v>
                </c:pt>
                <c:pt idx="30">
                  <c:v>33.562910386191199</c:v>
                </c:pt>
                <c:pt idx="31">
                  <c:v>33.770750042450508</c:v>
                </c:pt>
                <c:pt idx="32">
                  <c:v>33.972643335434348</c:v>
                </c:pt>
                <c:pt idx="33">
                  <c:v>34.168624485515643</c:v>
                </c:pt>
                <c:pt idx="34">
                  <c:v>34.35872653020246</c:v>
                </c:pt>
                <c:pt idx="35">
                  <c:v>34.542981381031332</c:v>
                </c:pt>
                <c:pt idx="36">
                  <c:v>34.721419876962614</c:v>
                </c:pt>
                <c:pt idx="37">
                  <c:v>34.89407183453887</c:v>
                </c:pt>
                <c:pt idx="38">
                  <c:v>35.060966095044741</c:v>
                </c:pt>
                <c:pt idx="39">
                  <c:v>35.222130568884474</c:v>
                </c:pt>
                <c:pt idx="40">
                  <c:v>35.377592277377964</c:v>
                </c:pt>
                <c:pt idx="41">
                  <c:v>35.527377392156438</c:v>
                </c:pt>
                <c:pt idx="42">
                  <c:v>35.671511272325574</c:v>
                </c:pt>
                <c:pt idx="43">
                  <c:v>35.810018499549436</c:v>
                </c:pt>
                <c:pt idx="44">
                  <c:v>35.942922911196831</c:v>
                </c:pt>
                <c:pt idx="45">
                  <c:v>36.070247631679209</c:v>
                </c:pt>
                <c:pt idx="46">
                  <c:v>36.192015102101244</c:v>
                </c:pt>
                <c:pt idx="47">
                  <c:v>36.308247108333084</c:v>
                </c:pt>
                <c:pt idx="48">
                  <c:v>36.418964807607274</c:v>
                </c:pt>
                <c:pt idx="49">
                  <c:v>36.524188753733867</c:v>
                </c:pt>
                <c:pt idx="50">
                  <c:v>36.62393892102174</c:v>
                </c:pt>
                <c:pt idx="51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FC-48CD-86C4-DC0329747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637135"/>
        <c:axId val="693618623"/>
      </c:scatterChart>
      <c:valAx>
        <c:axId val="848637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618623"/>
        <c:crosses val="autoZero"/>
        <c:crossBetween val="midCat"/>
      </c:valAx>
      <c:valAx>
        <c:axId val="69361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(lbf)</a:t>
                </a:r>
              </a:p>
            </c:rich>
          </c:tx>
          <c:layout>
            <c:manualLayout>
              <c:xMode val="edge"/>
              <c:yMode val="edge"/>
              <c:x val="2.3350846468184472E-2"/>
              <c:y val="0.36338177180099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37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latin typeface="Bahnschrift Light" panose="020B0502040204020203" pitchFamily="34" charset="0"/>
              </a:rPr>
              <a:t>Thrust vs. Time (N)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Nozzleless!$K$24</c:f>
              <c:strCache>
                <c:ptCount val="1"/>
                <c:pt idx="0">
                  <c:v>Thrust (N)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Nozzleless!$I$25:$I$76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3.5968133808146389E-2</c:v>
                </c:pt>
                <c:pt idx="2">
                  <c:v>7.2208412728690774E-2</c:v>
                </c:pt>
                <c:pt idx="3">
                  <c:v>0.10871538116284601</c:v>
                </c:pt>
                <c:pt idx="4">
                  <c:v>0.14548382647536565</c:v>
                </c:pt>
                <c:pt idx="5">
                  <c:v>0.18250876225265839</c:v>
                </c:pt>
                <c:pt idx="6">
                  <c:v>0.21978541310172628</c:v>
                </c:pt>
                <c:pt idx="7">
                  <c:v>0.25730920081424535</c:v>
                </c:pt>
                <c:pt idx="8">
                  <c:v>0.29507573174381746</c:v>
                </c:pt>
                <c:pt idx="9">
                  <c:v>0.33308078526445678</c:v>
                </c:pt>
                <c:pt idx="10">
                  <c:v>0.37132030319537784</c:v>
                </c:pt>
                <c:pt idx="11">
                  <c:v>0.40979038009163432</c:v>
                </c:pt>
                <c:pt idx="12">
                  <c:v>0.44848725431254521</c:v>
                </c:pt>
                <c:pt idx="13">
                  <c:v>0.48740729979047237</c:v>
                </c:pt>
                <c:pt idx="14">
                  <c:v>0.52654701843166685</c:v>
                </c:pt>
                <c:pt idx="15">
                  <c:v>0.56590303308880874</c:v>
                </c:pt>
                <c:pt idx="16">
                  <c:v>0.60547208105171679</c:v>
                </c:pt>
                <c:pt idx="17">
                  <c:v>0.64525100800866209</c:v>
                </c:pt>
                <c:pt idx="18">
                  <c:v>0.68523676243591081</c:v>
                </c:pt>
                <c:pt idx="19">
                  <c:v>0.7254263903776611</c:v>
                </c:pt>
                <c:pt idx="20">
                  <c:v>0.76581703058251671</c:v>
                </c:pt>
                <c:pt idx="21">
                  <c:v>0.80640590996613493</c:v>
                </c:pt>
                <c:pt idx="22">
                  <c:v>0.84719033937276667</c:v>
                </c:pt>
                <c:pt idx="23">
                  <c:v>0.88816770961112324</c:v>
                </c:pt>
                <c:pt idx="24">
                  <c:v>0.92933548774241115</c:v>
                </c:pt>
                <c:pt idx="25">
                  <c:v>0.97069121360050936</c:v>
                </c:pt>
                <c:pt idx="26">
                  <c:v>1.0122324965261595</c:v>
                </c:pt>
                <c:pt idx="27">
                  <c:v>1.0539570122987278</c:v>
                </c:pt>
                <c:pt idx="28">
                  <c:v>1.0958625002506042</c:v>
                </c:pt>
                <c:pt idx="29">
                  <c:v>1.1379467605506517</c:v>
                </c:pt>
                <c:pt idx="30">
                  <c:v>1.1802076516443252</c:v>
                </c:pt>
                <c:pt idx="31">
                  <c:v>1.222643087839161</c:v>
                </c:pt>
                <c:pt idx="32">
                  <c:v>1.2652510370253116</c:v>
                </c:pt>
                <c:pt idx="33">
                  <c:v>1.308029518521677</c:v>
                </c:pt>
                <c:pt idx="34">
                  <c:v>1.3509766010389712</c:v>
                </c:pt>
                <c:pt idx="35">
                  <c:v>1.3940904007517803</c:v>
                </c:pt>
                <c:pt idx="36">
                  <c:v>1.4373690794723089</c:v>
                </c:pt>
                <c:pt idx="37">
                  <c:v>1.4808108429191007</c:v>
                </c:pt>
                <c:pt idx="38">
                  <c:v>1.5244139390745461</c:v>
                </c:pt>
                <c:pt idx="39">
                  <c:v>1.5681766566254725</c:v>
                </c:pt>
                <c:pt idx="40">
                  <c:v>1.6120973234815537</c:v>
                </c:pt>
                <c:pt idx="41">
                  <c:v>1.6561743053666702</c:v>
                </c:pt>
                <c:pt idx="42">
                  <c:v>1.7004060044787177</c:v>
                </c:pt>
                <c:pt idx="43">
                  <c:v>1.7447908582136962</c:v>
                </c:pt>
                <c:pt idx="44">
                  <c:v>1.7893273379502115</c:v>
                </c:pt>
                <c:pt idx="45">
                  <c:v>1.834013947890804</c:v>
                </c:pt>
                <c:pt idx="46">
                  <c:v>1.8788492239567702</c:v>
                </c:pt>
                <c:pt idx="47">
                  <c:v>1.9238317327333812</c:v>
                </c:pt>
                <c:pt idx="48">
                  <c:v>1.968960070462612</c:v>
                </c:pt>
                <c:pt idx="49">
                  <c:v>2.0142328620806986</c:v>
                </c:pt>
                <c:pt idx="50">
                  <c:v>2.0596487602980167</c:v>
                </c:pt>
                <c:pt idx="51">
                  <c:v>2.1050646585153348</c:v>
                </c:pt>
              </c:numCache>
            </c:numRef>
          </c:xVal>
          <c:yVal>
            <c:numRef>
              <c:f>Nozzleless!$K$25:$K$76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109.8073470494956</c:v>
                </c:pt>
                <c:pt idx="2">
                  <c:v>111.60109190720642</c:v>
                </c:pt>
                <c:pt idx="3">
                  <c:v>113.35950099073054</c:v>
                </c:pt>
                <c:pt idx="4">
                  <c:v>115.0831546234638</c:v>
                </c:pt>
                <c:pt idx="5">
                  <c:v>116.77259867321959</c:v>
                </c:pt>
                <c:pt idx="6">
                  <c:v>118.42834739049107</c:v>
                </c:pt>
                <c:pt idx="7">
                  <c:v>120.05088595009113</c:v>
                </c:pt>
                <c:pt idx="8">
                  <c:v>121.64067273344786</c:v>
                </c:pt>
                <c:pt idx="9">
                  <c:v>123.19814138339488</c:v>
                </c:pt>
                <c:pt idx="10">
                  <c:v>124.72370265875688</c:v>
                </c:pt>
                <c:pt idx="11">
                  <c:v>126.2177461122224</c:v>
                </c:pt>
                <c:pt idx="12">
                  <c:v>127.68064161179021</c:v>
                </c:pt>
                <c:pt idx="13">
                  <c:v>129.11274072337065</c:v>
                </c:pt>
                <c:pt idx="14">
                  <c:v>130.51437796981978</c:v>
                </c:pt>
                <c:pt idx="15">
                  <c:v>131.88587197972714</c:v>
                </c:pt>
                <c:pt idx="16">
                  <c:v>133.22752653761106</c:v>
                </c:pt>
                <c:pt idx="17">
                  <c:v>134.53963154573302</c:v>
                </c:pt>
                <c:pt idx="18">
                  <c:v>135.82246390651432</c:v>
                </c:pt>
                <c:pt idx="19">
                  <c:v>137.07628833347337</c:v>
                </c:pt>
                <c:pt idx="20">
                  <c:v>138.3013580976791</c:v>
                </c:pt>
                <c:pt idx="21">
                  <c:v>139.49791571592044</c:v>
                </c:pt>
                <c:pt idx="22">
                  <c:v>140.66619358609225</c:v>
                </c:pt>
                <c:pt idx="23">
                  <c:v>141.80641457469559</c:v>
                </c:pt>
                <c:pt idx="24">
                  <c:v>142.91879256081845</c:v>
                </c:pt>
                <c:pt idx="25">
                  <c:v>144.0035329404962</c:v>
                </c:pt>
                <c:pt idx="26">
                  <c:v>145.06083309494579</c:v>
                </c:pt>
                <c:pt idx="27">
                  <c:v>146.09088282580757</c:v>
                </c:pt>
                <c:pt idx="28">
                  <c:v>147.09386476020643</c:v>
                </c:pt>
                <c:pt idx="29">
                  <c:v>148.06995472816999</c:v>
                </c:pt>
                <c:pt idx="30">
                  <c:v>149.01932211468895</c:v>
                </c:pt>
                <c:pt idx="31">
                  <c:v>149.94213018848026</c:v>
                </c:pt>
                <c:pt idx="32">
                  <c:v>150.83853640932853</c:v>
                </c:pt>
                <c:pt idx="33">
                  <c:v>151.70869271568947</c:v>
                </c:pt>
                <c:pt idx="34">
                  <c:v>152.55274579409894</c:v>
                </c:pt>
                <c:pt idx="35">
                  <c:v>153.37083733177911</c:v>
                </c:pt>
                <c:pt idx="36">
                  <c:v>154.16310425371401</c:v>
                </c:pt>
                <c:pt idx="37">
                  <c:v>154.92967894535261</c:v>
                </c:pt>
                <c:pt idx="38">
                  <c:v>155.67068946199865</c:v>
                </c:pt>
                <c:pt idx="39">
                  <c:v>156.38625972584708</c:v>
                </c:pt>
                <c:pt idx="40">
                  <c:v>157.07650971155817</c:v>
                </c:pt>
                <c:pt idx="41">
                  <c:v>157.7415556211746</c:v>
                </c:pt>
                <c:pt idx="42">
                  <c:v>158.38151004912555</c:v>
                </c:pt>
                <c:pt idx="43">
                  <c:v>158.99648213799952</c:v>
                </c:pt>
                <c:pt idx="44">
                  <c:v>159.58657772571394</c:v>
                </c:pt>
                <c:pt idx="45">
                  <c:v>160.1518994846557</c:v>
                </c:pt>
                <c:pt idx="46">
                  <c:v>160.69254705332955</c:v>
                </c:pt>
                <c:pt idx="47">
                  <c:v>161.2086171609989</c:v>
                </c:pt>
                <c:pt idx="48">
                  <c:v>161.70020374577632</c:v>
                </c:pt>
                <c:pt idx="49">
                  <c:v>162.16739806657839</c:v>
                </c:pt>
                <c:pt idx="50">
                  <c:v>162.61028880933654</c:v>
                </c:pt>
                <c:pt idx="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45-4656-ACA4-4D2F6548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637135"/>
        <c:axId val="693618623"/>
      </c:scatterChart>
      <c:valAx>
        <c:axId val="848637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618623"/>
        <c:crosses val="autoZero"/>
        <c:crossBetween val="midCat"/>
      </c:valAx>
      <c:valAx>
        <c:axId val="69361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(N)</a:t>
                </a:r>
              </a:p>
            </c:rich>
          </c:tx>
          <c:layout>
            <c:manualLayout>
              <c:xMode val="edge"/>
              <c:yMode val="edge"/>
              <c:x val="2.3350846468184472E-2"/>
              <c:y val="0.36338177180099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37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latin typeface="Bahnschrift Light" panose="020B0502040204020203" pitchFamily="34" charset="0"/>
              </a:rPr>
              <a:t>Thrust vs. Time (lbf)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CoredEndBurner!$K$25</c:f>
              <c:strCache>
                <c:ptCount val="1"/>
                <c:pt idx="0">
                  <c:v>Thrust (lbf)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CoredEndBurner!$J$26:$J$79</c:f>
              <c:numCache>
                <c:formatCode>0.000</c:formatCode>
                <c:ptCount val="54"/>
                <c:pt idx="0" formatCode="General">
                  <c:v>0</c:v>
                </c:pt>
                <c:pt idx="1">
                  <c:v>3.3451334007994347E-2</c:v>
                </c:pt>
                <c:pt idx="2">
                  <c:v>6.6625194286844547E-2</c:v>
                </c:pt>
                <c:pt idx="3">
                  <c:v>9.9527870120160983E-2</c:v>
                </c:pt>
                <c:pt idx="4">
                  <c:v>0.1321654204324143</c:v>
                </c:pt>
                <c:pt idx="5">
                  <c:v>0.16454368535186284</c:v>
                </c:pt>
                <c:pt idx="6">
                  <c:v>0.19666829704054653</c:v>
                </c:pt>
                <c:pt idx="7">
                  <c:v>0.22854468984720877</c:v>
                </c:pt>
                <c:pt idx="8">
                  <c:v>0.2601781098340531</c:v>
                </c:pt>
                <c:pt idx="9">
                  <c:v>0.29157362372378648</c:v>
                </c:pt>
                <c:pt idx="10">
                  <c:v>0.32273612730938817</c:v>
                </c:pt>
                <c:pt idx="11">
                  <c:v>0.35367035336542713</c:v>
                </c:pt>
                <c:pt idx="12">
                  <c:v>0.38438087909648233</c:v>
                </c:pt>
                <c:pt idx="13">
                  <c:v>0.41487213315526705</c:v>
                </c:pt>
                <c:pt idx="14">
                  <c:v>0.44514840226038327</c:v>
                </c:pt>
                <c:pt idx="15">
                  <c:v>0.47521383744120727</c:v>
                </c:pt>
                <c:pt idx="16">
                  <c:v>0.505072459935206</c:v>
                </c:pt>
                <c:pt idx="17">
                  <c:v>0.53472816676098356</c:v>
                </c:pt>
                <c:pt idx="18">
                  <c:v>0.56418473598853502</c:v>
                </c:pt>
                <c:pt idx="19">
                  <c:v>0.59344583172652909</c:v>
                </c:pt>
                <c:pt idx="20">
                  <c:v>0.62251500884492483</c:v>
                </c:pt>
                <c:pt idx="21">
                  <c:v>0.65139571744984992</c:v>
                </c:pt>
                <c:pt idx="22">
                  <c:v>0.68009130712640231</c:v>
                </c:pt>
                <c:pt idx="23">
                  <c:v>0.70860503096388505</c:v>
                </c:pt>
                <c:pt idx="24">
                  <c:v>0.73694004937692281</c:v>
                </c:pt>
                <c:pt idx="25">
                  <c:v>0.76509943373494116</c:v>
                </c:pt>
                <c:pt idx="26">
                  <c:v>0.79308616981159796</c:v>
                </c:pt>
                <c:pt idx="27">
                  <c:v>0.82090316106493766</c:v>
                </c:pt>
                <c:pt idx="28">
                  <c:v>0.84855323175828934</c:v>
                </c:pt>
                <c:pt idx="29">
                  <c:v>0.87603912993123412</c:v>
                </c:pt>
                <c:pt idx="30">
                  <c:v>0.90336353022933236</c:v>
                </c:pt>
                <c:pt idx="31">
                  <c:v>0.93052903660071218</c:v>
                </c:pt>
                <c:pt idx="32">
                  <c:v>0.95753818486707698</c:v>
                </c:pt>
                <c:pt idx="33">
                  <c:v>0.98439344517619098</c:v>
                </c:pt>
                <c:pt idx="34">
                  <c:v>1.0110972243424363</c:v>
                </c:pt>
                <c:pt idx="35">
                  <c:v>1.0376518680816078</c:v>
                </c:pt>
                <c:pt idx="36">
                  <c:v>1.0640596631457147</c:v>
                </c:pt>
                <c:pt idx="37">
                  <c:v>1.0903228393631896</c:v>
                </c:pt>
                <c:pt idx="38">
                  <c:v>1.1164435715895684</c:v>
                </c:pt>
                <c:pt idx="39">
                  <c:v>1.1424239815733799</c:v>
                </c:pt>
                <c:pt idx="40">
                  <c:v>1.1682661397417007</c:v>
                </c:pt>
                <c:pt idx="41">
                  <c:v>1.193972066909551</c:v>
                </c:pt>
                <c:pt idx="42">
                  <c:v>1.2195437359170531</c:v>
                </c:pt>
                <c:pt idx="43">
                  <c:v>1.2449830731980422</c:v>
                </c:pt>
                <c:pt idx="44">
                  <c:v>1.2702919602835958</c:v>
                </c:pt>
                <c:pt idx="45">
                  <c:v>1.295472235243744</c:v>
                </c:pt>
                <c:pt idx="46">
                  <c:v>1.3205256940704306</c:v>
                </c:pt>
                <c:pt idx="47">
                  <c:v>1.3454540920046205</c:v>
                </c:pt>
                <c:pt idx="48">
                  <c:v>1.3702591448102754</c:v>
                </c:pt>
                <c:pt idx="49">
                  <c:v>1.3949425299977727</c:v>
                </c:pt>
                <c:pt idx="50">
                  <c:v>1.4195058879991884</c:v>
                </c:pt>
                <c:pt idx="51">
                  <c:v>1.4529916664510711</c:v>
                </c:pt>
                <c:pt idx="52">
                  <c:v>34.65003843923207</c:v>
                </c:pt>
                <c:pt idx="53">
                  <c:v>34.674601797233485</c:v>
                </c:pt>
              </c:numCache>
            </c:numRef>
          </c:xVal>
          <c:yVal>
            <c:numRef>
              <c:f>CoredEndBurner!$K$26:$K$79</c:f>
              <c:numCache>
                <c:formatCode>0.000</c:formatCode>
                <c:ptCount val="54"/>
                <c:pt idx="0" formatCode="General">
                  <c:v>0</c:v>
                </c:pt>
                <c:pt idx="1">
                  <c:v>3.6670179013097468</c:v>
                </c:pt>
                <c:pt idx="2">
                  <c:v>3.830126982042223</c:v>
                </c:pt>
                <c:pt idx="3">
                  <c:v>3.9976119250016242</c:v>
                </c:pt>
                <c:pt idx="4">
                  <c:v>4.1695181572189037</c:v>
                </c:pt>
                <c:pt idx="5">
                  <c:v>4.3458908292119807</c:v>
                </c:pt>
                <c:pt idx="6">
                  <c:v>4.5267748213874475</c:v>
                </c:pt>
                <c:pt idx="7">
                  <c:v>4.7122147501375462</c:v>
                </c:pt>
                <c:pt idx="8">
                  <c:v>4.9022549736568202</c:v>
                </c:pt>
                <c:pt idx="9">
                  <c:v>5.0969395975001337</c:v>
                </c:pt>
                <c:pt idx="10">
                  <c:v>5.2963124799013963</c:v>
                </c:pt>
                <c:pt idx="11">
                  <c:v>5.5004172368701783</c:v>
                </c:pt>
                <c:pt idx="12">
                  <c:v>5.709297247081718</c:v>
                </c:pt>
                <c:pt idx="13">
                  <c:v>5.9229956565742041</c:v>
                </c:pt>
                <c:pt idx="14">
                  <c:v>6.141555383266013</c:v>
                </c:pt>
                <c:pt idx="15">
                  <c:v>6.3650191213040257</c:v>
                </c:pt>
                <c:pt idx="16">
                  <c:v>6.5934293452536377</c:v>
                </c:pt>
                <c:pt idx="17">
                  <c:v>6.8268283141397195</c:v>
                </c:pt>
                <c:pt idx="18">
                  <c:v>7.065258075347157</c:v>
                </c:pt>
                <c:pt idx="19">
                  <c:v>7.3087604683888996</c:v>
                </c:pt>
                <c:pt idx="20">
                  <c:v>7.5573771285486906</c:v>
                </c:pt>
                <c:pt idx="21">
                  <c:v>7.811149490405163</c:v>
                </c:pt>
                <c:pt idx="22">
                  <c:v>8.0701187912435266</c:v>
                </c:pt>
                <c:pt idx="23">
                  <c:v>8.3343260743604706</c:v>
                </c:pt>
                <c:pt idx="24">
                  <c:v>8.6038121922674478</c:v>
                </c:pt>
                <c:pt idx="25">
                  <c:v>8.8786178097974613</c:v>
                </c:pt>
                <c:pt idx="26">
                  <c:v>9.1587834071197971</c:v>
                </c:pt>
                <c:pt idx="27">
                  <c:v>9.4443492826668614</c:v>
                </c:pt>
                <c:pt idx="28">
                  <c:v>9.735355555977236</c:v>
                </c:pt>
                <c:pt idx="29">
                  <c:v>10.031842170458589</c:v>
                </c:pt>
                <c:pt idx="30">
                  <c:v>10.333848896073903</c:v>
                </c:pt>
                <c:pt idx="31">
                  <c:v>10.641415331954288</c:v>
                </c:pt>
                <c:pt idx="32">
                  <c:v>10.954580908941546</c:v>
                </c:pt>
                <c:pt idx="33">
                  <c:v>11.273384892063151</c:v>
                </c:pt>
                <c:pt idx="34">
                  <c:v>11.597866382942531</c:v>
                </c:pt>
                <c:pt idx="35">
                  <c:v>11.928064322147256</c:v>
                </c:pt>
                <c:pt idx="36">
                  <c:v>12.264017491477302</c:v>
                </c:pt>
                <c:pt idx="37">
                  <c:v>12.605764516195936</c:v>
                </c:pt>
                <c:pt idx="38">
                  <c:v>12.953343867205286</c:v>
                </c:pt>
                <c:pt idx="39">
                  <c:v>13.306793863168568</c:v>
                </c:pt>
                <c:pt idx="40">
                  <c:v>13.666152672581141</c:v>
                </c:pt>
                <c:pt idx="41">
                  <c:v>14.031458315791863</c:v>
                </c:pt>
                <c:pt idx="42">
                  <c:v>14.402748666976947</c:v>
                </c:pt>
                <c:pt idx="43">
                  <c:v>14.780061456067646</c:v>
                </c:pt>
                <c:pt idx="44">
                  <c:v>15.16343427063347</c:v>
                </c:pt>
                <c:pt idx="45">
                  <c:v>15.55290455772246</c:v>
                </c:pt>
                <c:pt idx="46">
                  <c:v>15.948509625660032</c:v>
                </c:pt>
                <c:pt idx="47">
                  <c:v>16.350286645807586</c:v>
                </c:pt>
                <c:pt idx="48">
                  <c:v>16.758272654282258</c:v>
                </c:pt>
                <c:pt idx="49">
                  <c:v>17.172504553639207</c:v>
                </c:pt>
                <c:pt idx="50">
                  <c:v>17.593019114517602</c:v>
                </c:pt>
                <c:pt idx="51">
                  <c:v>3.6473300683535843</c:v>
                </c:pt>
                <c:pt idx="52">
                  <c:v>3.6473300683535843</c:v>
                </c:pt>
                <c:pt idx="53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51-49B5-9B58-BD3ACABC3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637135"/>
        <c:axId val="693618623"/>
      </c:scatterChart>
      <c:valAx>
        <c:axId val="848637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618623"/>
        <c:crosses val="autoZero"/>
        <c:crossBetween val="midCat"/>
      </c:valAx>
      <c:valAx>
        <c:axId val="69361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(lbf)</a:t>
                </a:r>
              </a:p>
            </c:rich>
          </c:tx>
          <c:layout>
            <c:manualLayout>
              <c:xMode val="edge"/>
              <c:yMode val="edge"/>
              <c:x val="2.3350846468184472E-2"/>
              <c:y val="0.36338177180099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37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latin typeface="Bahnschrift Light" panose="020B0502040204020203" pitchFamily="34" charset="0"/>
              </a:rPr>
              <a:t>Thrust vs. Time (N)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CoredEndBurner!$L$25</c:f>
              <c:strCache>
                <c:ptCount val="1"/>
                <c:pt idx="0">
                  <c:v>Thrust (N)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CoredEndBurner!$J$26:$J$79</c:f>
              <c:numCache>
                <c:formatCode>0.000</c:formatCode>
                <c:ptCount val="54"/>
                <c:pt idx="0" formatCode="General">
                  <c:v>0</c:v>
                </c:pt>
                <c:pt idx="1">
                  <c:v>3.3451334007994347E-2</c:v>
                </c:pt>
                <c:pt idx="2">
                  <c:v>6.6625194286844547E-2</c:v>
                </c:pt>
                <c:pt idx="3">
                  <c:v>9.9527870120160983E-2</c:v>
                </c:pt>
                <c:pt idx="4">
                  <c:v>0.1321654204324143</c:v>
                </c:pt>
                <c:pt idx="5">
                  <c:v>0.16454368535186284</c:v>
                </c:pt>
                <c:pt idx="6">
                  <c:v>0.19666829704054653</c:v>
                </c:pt>
                <c:pt idx="7">
                  <c:v>0.22854468984720877</c:v>
                </c:pt>
                <c:pt idx="8">
                  <c:v>0.2601781098340531</c:v>
                </c:pt>
                <c:pt idx="9">
                  <c:v>0.29157362372378648</c:v>
                </c:pt>
                <c:pt idx="10">
                  <c:v>0.32273612730938817</c:v>
                </c:pt>
                <c:pt idx="11">
                  <c:v>0.35367035336542713</c:v>
                </c:pt>
                <c:pt idx="12">
                  <c:v>0.38438087909648233</c:v>
                </c:pt>
                <c:pt idx="13">
                  <c:v>0.41487213315526705</c:v>
                </c:pt>
                <c:pt idx="14">
                  <c:v>0.44514840226038327</c:v>
                </c:pt>
                <c:pt idx="15">
                  <c:v>0.47521383744120727</c:v>
                </c:pt>
                <c:pt idx="16">
                  <c:v>0.505072459935206</c:v>
                </c:pt>
                <c:pt idx="17">
                  <c:v>0.53472816676098356</c:v>
                </c:pt>
                <c:pt idx="18">
                  <c:v>0.56418473598853502</c:v>
                </c:pt>
                <c:pt idx="19">
                  <c:v>0.59344583172652909</c:v>
                </c:pt>
                <c:pt idx="20">
                  <c:v>0.62251500884492483</c:v>
                </c:pt>
                <c:pt idx="21">
                  <c:v>0.65139571744984992</c:v>
                </c:pt>
                <c:pt idx="22">
                  <c:v>0.68009130712640231</c:v>
                </c:pt>
                <c:pt idx="23">
                  <c:v>0.70860503096388505</c:v>
                </c:pt>
                <c:pt idx="24">
                  <c:v>0.73694004937692281</c:v>
                </c:pt>
                <c:pt idx="25">
                  <c:v>0.76509943373494116</c:v>
                </c:pt>
                <c:pt idx="26">
                  <c:v>0.79308616981159796</c:v>
                </c:pt>
                <c:pt idx="27">
                  <c:v>0.82090316106493766</c:v>
                </c:pt>
                <c:pt idx="28">
                  <c:v>0.84855323175828934</c:v>
                </c:pt>
                <c:pt idx="29">
                  <c:v>0.87603912993123412</c:v>
                </c:pt>
                <c:pt idx="30">
                  <c:v>0.90336353022933236</c:v>
                </c:pt>
                <c:pt idx="31">
                  <c:v>0.93052903660071218</c:v>
                </c:pt>
                <c:pt idx="32">
                  <c:v>0.95753818486707698</c:v>
                </c:pt>
                <c:pt idx="33">
                  <c:v>0.98439344517619098</c:v>
                </c:pt>
                <c:pt idx="34">
                  <c:v>1.0110972243424363</c:v>
                </c:pt>
                <c:pt idx="35">
                  <c:v>1.0376518680816078</c:v>
                </c:pt>
                <c:pt idx="36">
                  <c:v>1.0640596631457147</c:v>
                </c:pt>
                <c:pt idx="37">
                  <c:v>1.0903228393631896</c:v>
                </c:pt>
                <c:pt idx="38">
                  <c:v>1.1164435715895684</c:v>
                </c:pt>
                <c:pt idx="39">
                  <c:v>1.1424239815733799</c:v>
                </c:pt>
                <c:pt idx="40">
                  <c:v>1.1682661397417007</c:v>
                </c:pt>
                <c:pt idx="41">
                  <c:v>1.193972066909551</c:v>
                </c:pt>
                <c:pt idx="42">
                  <c:v>1.2195437359170531</c:v>
                </c:pt>
                <c:pt idx="43">
                  <c:v>1.2449830731980422</c:v>
                </c:pt>
                <c:pt idx="44">
                  <c:v>1.2702919602835958</c:v>
                </c:pt>
                <c:pt idx="45">
                  <c:v>1.295472235243744</c:v>
                </c:pt>
                <c:pt idx="46">
                  <c:v>1.3205256940704306</c:v>
                </c:pt>
                <c:pt idx="47">
                  <c:v>1.3454540920046205</c:v>
                </c:pt>
                <c:pt idx="48">
                  <c:v>1.3702591448102754</c:v>
                </c:pt>
                <c:pt idx="49">
                  <c:v>1.3949425299977727</c:v>
                </c:pt>
                <c:pt idx="50">
                  <c:v>1.4195058879991884</c:v>
                </c:pt>
                <c:pt idx="51">
                  <c:v>1.4529916664510711</c:v>
                </c:pt>
                <c:pt idx="52">
                  <c:v>34.65003843923207</c:v>
                </c:pt>
                <c:pt idx="53">
                  <c:v>34.674601797233485</c:v>
                </c:pt>
              </c:numCache>
            </c:numRef>
          </c:xVal>
          <c:yVal>
            <c:numRef>
              <c:f>CoredEndBurner!$L$26:$L$79</c:f>
              <c:numCache>
                <c:formatCode>0.000</c:formatCode>
                <c:ptCount val="54"/>
                <c:pt idx="0" formatCode="General">
                  <c:v>0</c:v>
                </c:pt>
                <c:pt idx="1">
                  <c:v>16.281559481815279</c:v>
                </c:pt>
                <c:pt idx="2">
                  <c:v>17.00576380026747</c:v>
                </c:pt>
                <c:pt idx="3">
                  <c:v>17.749396947007213</c:v>
                </c:pt>
                <c:pt idx="4">
                  <c:v>18.512660618051935</c:v>
                </c:pt>
                <c:pt idx="5">
                  <c:v>19.295755281701197</c:v>
                </c:pt>
                <c:pt idx="6">
                  <c:v>20.098880206960267</c:v>
                </c:pt>
                <c:pt idx="7">
                  <c:v>20.922233490610708</c:v>
                </c:pt>
                <c:pt idx="8">
                  <c:v>21.766012083036284</c:v>
                </c:pt>
                <c:pt idx="9">
                  <c:v>22.630411812900597</c:v>
                </c:pt>
                <c:pt idx="10">
                  <c:v>23.515627410762203</c:v>
                </c:pt>
                <c:pt idx="11">
                  <c:v>24.421852531703593</c:v>
                </c:pt>
                <c:pt idx="12">
                  <c:v>25.349279777042831</c:v>
                </c:pt>
                <c:pt idx="13">
                  <c:v>26.29810071518947</c:v>
                </c:pt>
                <c:pt idx="14">
                  <c:v>27.268505901701101</c:v>
                </c:pt>
                <c:pt idx="15">
                  <c:v>28.260684898589876</c:v>
                </c:pt>
                <c:pt idx="16">
                  <c:v>29.274826292926154</c:v>
                </c:pt>
                <c:pt idx="17">
                  <c:v>30.311117714780359</c:v>
                </c:pt>
                <c:pt idx="18">
                  <c:v>31.369745854541378</c:v>
                </c:pt>
                <c:pt idx="19">
                  <c:v>32.450896479646715</c:v>
                </c:pt>
                <c:pt idx="20">
                  <c:v>33.554754450756192</c:v>
                </c:pt>
                <c:pt idx="21">
                  <c:v>34.681503737398927</c:v>
                </c:pt>
                <c:pt idx="22">
                  <c:v>35.83132743312126</c:v>
                </c:pt>
                <c:pt idx="23">
                  <c:v>37.004407770160491</c:v>
                </c:pt>
                <c:pt idx="24">
                  <c:v>38.200926133667473</c:v>
                </c:pt>
                <c:pt idx="25">
                  <c:v>39.421063075500733</c:v>
                </c:pt>
                <c:pt idx="26">
                  <c:v>40.664998327611904</c:v>
                </c:pt>
                <c:pt idx="27">
                  <c:v>41.93291081504087</c:v>
                </c:pt>
                <c:pt idx="28">
                  <c:v>43.224978668538931</c:v>
                </c:pt>
                <c:pt idx="29">
                  <c:v>44.541379236836136</c:v>
                </c:pt>
                <c:pt idx="30">
                  <c:v>45.88228909856813</c:v>
                </c:pt>
                <c:pt idx="31">
                  <c:v>47.247884073877046</c:v>
                </c:pt>
                <c:pt idx="32">
                  <c:v>48.638339235700471</c:v>
                </c:pt>
                <c:pt idx="33">
                  <c:v>50.053828920760395</c:v>
                </c:pt>
                <c:pt idx="34">
                  <c:v>51.494526740264838</c:v>
                </c:pt>
                <c:pt idx="35">
                  <c:v>52.96060559033382</c:v>
                </c:pt>
                <c:pt idx="36">
                  <c:v>54.452237662159227</c:v>
                </c:pt>
                <c:pt idx="37">
                  <c:v>55.969594451909963</c:v>
                </c:pt>
                <c:pt idx="38">
                  <c:v>57.512846770391477</c:v>
                </c:pt>
                <c:pt idx="39">
                  <c:v>59.082164752468451</c:v>
                </c:pt>
                <c:pt idx="40">
                  <c:v>60.677717866260274</c:v>
                </c:pt>
                <c:pt idx="41">
                  <c:v>62.299674922115877</c:v>
                </c:pt>
                <c:pt idx="42">
                  <c:v>63.948204081377654</c:v>
                </c:pt>
                <c:pt idx="43">
                  <c:v>65.623472864940354</c:v>
                </c:pt>
                <c:pt idx="44">
                  <c:v>67.325648161612619</c:v>
                </c:pt>
                <c:pt idx="45">
                  <c:v>69.054896236287732</c:v>
                </c:pt>
                <c:pt idx="46">
                  <c:v>70.811382737930543</c:v>
                </c:pt>
                <c:pt idx="47">
                  <c:v>72.595272707385689</c:v>
                </c:pt>
                <c:pt idx="48">
                  <c:v>74.406730585013236</c:v>
                </c:pt>
                <c:pt idx="49">
                  <c:v>76.245920218158091</c:v>
                </c:pt>
                <c:pt idx="50">
                  <c:v>78.113004868458162</c:v>
                </c:pt>
                <c:pt idx="51">
                  <c:v>16.194145503489917</c:v>
                </c:pt>
                <c:pt idx="52">
                  <c:v>16.194145503489917</c:v>
                </c:pt>
                <c:pt idx="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E5-4D8F-9F50-AD1A904D576F}"/>
            </c:ext>
          </c:extLst>
        </c:ser>
        <c:ser>
          <c:idx val="0"/>
          <c:order val="1"/>
          <c:tx>
            <c:strRef>
              <c:f>CoredEndBurner!$L$25</c:f>
              <c:strCache>
                <c:ptCount val="1"/>
                <c:pt idx="0">
                  <c:v>Thrust (N)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CoredEndBurner!$J$26:$J$79</c:f>
              <c:numCache>
                <c:formatCode>0.000</c:formatCode>
                <c:ptCount val="54"/>
                <c:pt idx="0" formatCode="General">
                  <c:v>0</c:v>
                </c:pt>
                <c:pt idx="1">
                  <c:v>3.3451334007994347E-2</c:v>
                </c:pt>
                <c:pt idx="2">
                  <c:v>6.6625194286844547E-2</c:v>
                </c:pt>
                <c:pt idx="3">
                  <c:v>9.9527870120160983E-2</c:v>
                </c:pt>
                <c:pt idx="4">
                  <c:v>0.1321654204324143</c:v>
                </c:pt>
                <c:pt idx="5">
                  <c:v>0.16454368535186284</c:v>
                </c:pt>
                <c:pt idx="6">
                  <c:v>0.19666829704054653</c:v>
                </c:pt>
                <c:pt idx="7">
                  <c:v>0.22854468984720877</c:v>
                </c:pt>
                <c:pt idx="8">
                  <c:v>0.2601781098340531</c:v>
                </c:pt>
                <c:pt idx="9">
                  <c:v>0.29157362372378648</c:v>
                </c:pt>
                <c:pt idx="10">
                  <c:v>0.32273612730938817</c:v>
                </c:pt>
                <c:pt idx="11">
                  <c:v>0.35367035336542713</c:v>
                </c:pt>
                <c:pt idx="12">
                  <c:v>0.38438087909648233</c:v>
                </c:pt>
                <c:pt idx="13">
                  <c:v>0.41487213315526705</c:v>
                </c:pt>
                <c:pt idx="14">
                  <c:v>0.44514840226038327</c:v>
                </c:pt>
                <c:pt idx="15">
                  <c:v>0.47521383744120727</c:v>
                </c:pt>
                <c:pt idx="16">
                  <c:v>0.505072459935206</c:v>
                </c:pt>
                <c:pt idx="17">
                  <c:v>0.53472816676098356</c:v>
                </c:pt>
                <c:pt idx="18">
                  <c:v>0.56418473598853502</c:v>
                </c:pt>
                <c:pt idx="19">
                  <c:v>0.59344583172652909</c:v>
                </c:pt>
                <c:pt idx="20">
                  <c:v>0.62251500884492483</c:v>
                </c:pt>
                <c:pt idx="21">
                  <c:v>0.65139571744984992</c:v>
                </c:pt>
                <c:pt idx="22">
                  <c:v>0.68009130712640231</c:v>
                </c:pt>
                <c:pt idx="23">
                  <c:v>0.70860503096388505</c:v>
                </c:pt>
                <c:pt idx="24">
                  <c:v>0.73694004937692281</c:v>
                </c:pt>
                <c:pt idx="25">
                  <c:v>0.76509943373494116</c:v>
                </c:pt>
                <c:pt idx="26">
                  <c:v>0.79308616981159796</c:v>
                </c:pt>
                <c:pt idx="27">
                  <c:v>0.82090316106493766</c:v>
                </c:pt>
                <c:pt idx="28">
                  <c:v>0.84855323175828934</c:v>
                </c:pt>
                <c:pt idx="29">
                  <c:v>0.87603912993123412</c:v>
                </c:pt>
                <c:pt idx="30">
                  <c:v>0.90336353022933236</c:v>
                </c:pt>
                <c:pt idx="31">
                  <c:v>0.93052903660071218</c:v>
                </c:pt>
                <c:pt idx="32">
                  <c:v>0.95753818486707698</c:v>
                </c:pt>
                <c:pt idx="33">
                  <c:v>0.98439344517619098</c:v>
                </c:pt>
                <c:pt idx="34">
                  <c:v>1.0110972243424363</c:v>
                </c:pt>
                <c:pt idx="35">
                  <c:v>1.0376518680816078</c:v>
                </c:pt>
                <c:pt idx="36">
                  <c:v>1.0640596631457147</c:v>
                </c:pt>
                <c:pt idx="37">
                  <c:v>1.0903228393631896</c:v>
                </c:pt>
                <c:pt idx="38">
                  <c:v>1.1164435715895684</c:v>
                </c:pt>
                <c:pt idx="39">
                  <c:v>1.1424239815733799</c:v>
                </c:pt>
                <c:pt idx="40">
                  <c:v>1.1682661397417007</c:v>
                </c:pt>
                <c:pt idx="41">
                  <c:v>1.193972066909551</c:v>
                </c:pt>
                <c:pt idx="42">
                  <c:v>1.2195437359170531</c:v>
                </c:pt>
                <c:pt idx="43">
                  <c:v>1.2449830731980422</c:v>
                </c:pt>
                <c:pt idx="44">
                  <c:v>1.2702919602835958</c:v>
                </c:pt>
                <c:pt idx="45">
                  <c:v>1.295472235243744</c:v>
                </c:pt>
                <c:pt idx="46">
                  <c:v>1.3205256940704306</c:v>
                </c:pt>
                <c:pt idx="47">
                  <c:v>1.3454540920046205</c:v>
                </c:pt>
                <c:pt idx="48">
                  <c:v>1.3702591448102754</c:v>
                </c:pt>
                <c:pt idx="49">
                  <c:v>1.3949425299977727</c:v>
                </c:pt>
                <c:pt idx="50">
                  <c:v>1.4195058879991884</c:v>
                </c:pt>
                <c:pt idx="51">
                  <c:v>1.4529916664510711</c:v>
                </c:pt>
                <c:pt idx="52">
                  <c:v>34.65003843923207</c:v>
                </c:pt>
                <c:pt idx="53">
                  <c:v>34.674601797233485</c:v>
                </c:pt>
              </c:numCache>
            </c:numRef>
          </c:xVal>
          <c:yVal>
            <c:numRef>
              <c:f>CoredEndBurner!$L$26:$L$79</c:f>
              <c:numCache>
                <c:formatCode>0.000</c:formatCode>
                <c:ptCount val="54"/>
                <c:pt idx="0" formatCode="General">
                  <c:v>0</c:v>
                </c:pt>
                <c:pt idx="1">
                  <c:v>16.281559481815279</c:v>
                </c:pt>
                <c:pt idx="2">
                  <c:v>17.00576380026747</c:v>
                </c:pt>
                <c:pt idx="3">
                  <c:v>17.749396947007213</c:v>
                </c:pt>
                <c:pt idx="4">
                  <c:v>18.512660618051935</c:v>
                </c:pt>
                <c:pt idx="5">
                  <c:v>19.295755281701197</c:v>
                </c:pt>
                <c:pt idx="6">
                  <c:v>20.098880206960267</c:v>
                </c:pt>
                <c:pt idx="7">
                  <c:v>20.922233490610708</c:v>
                </c:pt>
                <c:pt idx="8">
                  <c:v>21.766012083036284</c:v>
                </c:pt>
                <c:pt idx="9">
                  <c:v>22.630411812900597</c:v>
                </c:pt>
                <c:pt idx="10">
                  <c:v>23.515627410762203</c:v>
                </c:pt>
                <c:pt idx="11">
                  <c:v>24.421852531703593</c:v>
                </c:pt>
                <c:pt idx="12">
                  <c:v>25.349279777042831</c:v>
                </c:pt>
                <c:pt idx="13">
                  <c:v>26.29810071518947</c:v>
                </c:pt>
                <c:pt idx="14">
                  <c:v>27.268505901701101</c:v>
                </c:pt>
                <c:pt idx="15">
                  <c:v>28.260684898589876</c:v>
                </c:pt>
                <c:pt idx="16">
                  <c:v>29.274826292926154</c:v>
                </c:pt>
                <c:pt idx="17">
                  <c:v>30.311117714780359</c:v>
                </c:pt>
                <c:pt idx="18">
                  <c:v>31.369745854541378</c:v>
                </c:pt>
                <c:pt idx="19">
                  <c:v>32.450896479646715</c:v>
                </c:pt>
                <c:pt idx="20">
                  <c:v>33.554754450756192</c:v>
                </c:pt>
                <c:pt idx="21">
                  <c:v>34.681503737398927</c:v>
                </c:pt>
                <c:pt idx="22">
                  <c:v>35.83132743312126</c:v>
                </c:pt>
                <c:pt idx="23">
                  <c:v>37.004407770160491</c:v>
                </c:pt>
                <c:pt idx="24">
                  <c:v>38.200926133667473</c:v>
                </c:pt>
                <c:pt idx="25">
                  <c:v>39.421063075500733</c:v>
                </c:pt>
                <c:pt idx="26">
                  <c:v>40.664998327611904</c:v>
                </c:pt>
                <c:pt idx="27">
                  <c:v>41.93291081504087</c:v>
                </c:pt>
                <c:pt idx="28">
                  <c:v>43.224978668538931</c:v>
                </c:pt>
                <c:pt idx="29">
                  <c:v>44.541379236836136</c:v>
                </c:pt>
                <c:pt idx="30">
                  <c:v>45.88228909856813</c:v>
                </c:pt>
                <c:pt idx="31">
                  <c:v>47.247884073877046</c:v>
                </c:pt>
                <c:pt idx="32">
                  <c:v>48.638339235700471</c:v>
                </c:pt>
                <c:pt idx="33">
                  <c:v>50.053828920760395</c:v>
                </c:pt>
                <c:pt idx="34">
                  <c:v>51.494526740264838</c:v>
                </c:pt>
                <c:pt idx="35">
                  <c:v>52.96060559033382</c:v>
                </c:pt>
                <c:pt idx="36">
                  <c:v>54.452237662159227</c:v>
                </c:pt>
                <c:pt idx="37">
                  <c:v>55.969594451909963</c:v>
                </c:pt>
                <c:pt idx="38">
                  <c:v>57.512846770391477</c:v>
                </c:pt>
                <c:pt idx="39">
                  <c:v>59.082164752468451</c:v>
                </c:pt>
                <c:pt idx="40">
                  <c:v>60.677717866260274</c:v>
                </c:pt>
                <c:pt idx="41">
                  <c:v>62.299674922115877</c:v>
                </c:pt>
                <c:pt idx="42">
                  <c:v>63.948204081377654</c:v>
                </c:pt>
                <c:pt idx="43">
                  <c:v>65.623472864940354</c:v>
                </c:pt>
                <c:pt idx="44">
                  <c:v>67.325648161612619</c:v>
                </c:pt>
                <c:pt idx="45">
                  <c:v>69.054896236287732</c:v>
                </c:pt>
                <c:pt idx="46">
                  <c:v>70.811382737930543</c:v>
                </c:pt>
                <c:pt idx="47">
                  <c:v>72.595272707385689</c:v>
                </c:pt>
                <c:pt idx="48">
                  <c:v>74.406730585013236</c:v>
                </c:pt>
                <c:pt idx="49">
                  <c:v>76.245920218158091</c:v>
                </c:pt>
                <c:pt idx="50">
                  <c:v>78.113004868458162</c:v>
                </c:pt>
                <c:pt idx="51">
                  <c:v>16.194145503489917</c:v>
                </c:pt>
                <c:pt idx="52">
                  <c:v>16.194145503489917</c:v>
                </c:pt>
                <c:pt idx="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E5-4D8F-9F50-AD1A904D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637135"/>
        <c:axId val="693618623"/>
      </c:scatterChart>
      <c:valAx>
        <c:axId val="848637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618623"/>
        <c:crosses val="autoZero"/>
        <c:crossBetween val="midCat"/>
      </c:valAx>
      <c:valAx>
        <c:axId val="69361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(N)</a:t>
                </a:r>
              </a:p>
            </c:rich>
          </c:tx>
          <c:layout>
            <c:manualLayout>
              <c:xMode val="edge"/>
              <c:yMode val="edge"/>
              <c:x val="2.3350846468184472E-2"/>
              <c:y val="0.36338177180099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37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tx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cap="none" baseline="0">
                <a:solidFill>
                  <a:sysClr val="window" lastClr="FFFFFF">
                    <a:lumMod val="85000"/>
                  </a:sysClr>
                </a:solidFill>
                <a:latin typeface="Bahnschrift Light" panose="020B0502040204020203" pitchFamily="34" charset="0"/>
              </a:rPr>
              <a:t>Thrust vs. Time (lbf)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EndBurner!$C$22</c:f>
              <c:strCache>
                <c:ptCount val="1"/>
                <c:pt idx="0">
                  <c:v>Thrust (lbf)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EndBurner!$B$23:$B$55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 formatCode="0.00">
                  <c:v>1.256640692454758</c:v>
                </c:pt>
                <c:pt idx="3" formatCode="0.00">
                  <c:v>2.5132813849095159</c:v>
                </c:pt>
                <c:pt idx="4" formatCode="0.00">
                  <c:v>3.7699220773642739</c:v>
                </c:pt>
                <c:pt idx="5" formatCode="0.00">
                  <c:v>5.0265627698190318</c:v>
                </c:pt>
                <c:pt idx="6" formatCode="0.00">
                  <c:v>6.2832034622737893</c:v>
                </c:pt>
                <c:pt idx="7" formatCode="0.00">
                  <c:v>7.5398441547285469</c:v>
                </c:pt>
                <c:pt idx="8" formatCode="0.00">
                  <c:v>8.7964848471833044</c:v>
                </c:pt>
                <c:pt idx="9" formatCode="0.00">
                  <c:v>10.053125539638062</c:v>
                </c:pt>
                <c:pt idx="10" formatCode="0.00">
                  <c:v>11.309766232092819</c:v>
                </c:pt>
                <c:pt idx="11" formatCode="0.00">
                  <c:v>12.566406924547577</c:v>
                </c:pt>
                <c:pt idx="12" formatCode="0.00">
                  <c:v>13.823047617002334</c:v>
                </c:pt>
                <c:pt idx="13" formatCode="0.00">
                  <c:v>15.079688309457092</c:v>
                </c:pt>
                <c:pt idx="14" formatCode="0.00">
                  <c:v>16.336329001911849</c:v>
                </c:pt>
                <c:pt idx="15" formatCode="0.00">
                  <c:v>17.592969694366609</c:v>
                </c:pt>
                <c:pt idx="16" formatCode="0.00">
                  <c:v>18.849610386821368</c:v>
                </c:pt>
                <c:pt idx="17" formatCode="0.00">
                  <c:v>20.106251079276127</c:v>
                </c:pt>
                <c:pt idx="18" formatCode="0.00">
                  <c:v>21.362891771730887</c:v>
                </c:pt>
                <c:pt idx="19" formatCode="0.00">
                  <c:v>22.619532464185646</c:v>
                </c:pt>
                <c:pt idx="20" formatCode="0.00">
                  <c:v>23.876173156640405</c:v>
                </c:pt>
                <c:pt idx="21" formatCode="0.00">
                  <c:v>25.132813849095164</c:v>
                </c:pt>
                <c:pt idx="22" formatCode="0.00">
                  <c:v>26.389454541549924</c:v>
                </c:pt>
                <c:pt idx="23" formatCode="0.00">
                  <c:v>27.646095234004683</c:v>
                </c:pt>
                <c:pt idx="24" formatCode="0.00">
                  <c:v>28.902735926459442</c:v>
                </c:pt>
                <c:pt idx="25" formatCode="0.00">
                  <c:v>30.159376618914202</c:v>
                </c:pt>
                <c:pt idx="26" formatCode="0.00">
                  <c:v>31.416017311368961</c:v>
                </c:pt>
                <c:pt idx="27" formatCode="0.00">
                  <c:v>32.67265800382372</c:v>
                </c:pt>
                <c:pt idx="28" formatCode="0.00">
                  <c:v>33.929298696278479</c:v>
                </c:pt>
                <c:pt idx="29" formatCode="0.00">
                  <c:v>35.185939388733239</c:v>
                </c:pt>
                <c:pt idx="30" formatCode="0.00">
                  <c:v>36.442580081187998</c:v>
                </c:pt>
                <c:pt idx="31" formatCode="0.00">
                  <c:v>37.699220773642757</c:v>
                </c:pt>
                <c:pt idx="32" formatCode="0.00">
                  <c:v>37.699220773642757</c:v>
                </c:pt>
              </c:numCache>
            </c:numRef>
          </c:xVal>
          <c:yVal>
            <c:numRef>
              <c:f>EndBurner!$C$23:$C$55</c:f>
              <c:numCache>
                <c:formatCode>0.00</c:formatCode>
                <c:ptCount val="33"/>
                <c:pt idx="0" formatCode="General">
                  <c:v>0</c:v>
                </c:pt>
                <c:pt idx="1">
                  <c:v>3.6473300683535843</c:v>
                </c:pt>
                <c:pt idx="2">
                  <c:v>3.6473300683535843</c:v>
                </c:pt>
                <c:pt idx="3">
                  <c:v>3.6473300683535843</c:v>
                </c:pt>
                <c:pt idx="4">
                  <c:v>3.6473300683535843</c:v>
                </c:pt>
                <c:pt idx="5">
                  <c:v>3.6473300683535843</c:v>
                </c:pt>
                <c:pt idx="6">
                  <c:v>3.6473300683535843</c:v>
                </c:pt>
                <c:pt idx="7">
                  <c:v>3.6473300683535843</c:v>
                </c:pt>
                <c:pt idx="8">
                  <c:v>3.6473300683535843</c:v>
                </c:pt>
                <c:pt idx="9">
                  <c:v>3.6473300683535843</c:v>
                </c:pt>
                <c:pt idx="10">
                  <c:v>3.6473300683535843</c:v>
                </c:pt>
                <c:pt idx="11">
                  <c:v>3.6473300683535843</c:v>
                </c:pt>
                <c:pt idx="12">
                  <c:v>3.6473300683535843</c:v>
                </c:pt>
                <c:pt idx="13">
                  <c:v>3.6473300683535843</c:v>
                </c:pt>
                <c:pt idx="14">
                  <c:v>3.6473300683535843</c:v>
                </c:pt>
                <c:pt idx="15">
                  <c:v>3.6473300683535843</c:v>
                </c:pt>
                <c:pt idx="16">
                  <c:v>3.6473300683535843</c:v>
                </c:pt>
                <c:pt idx="17">
                  <c:v>3.6473300683535843</c:v>
                </c:pt>
                <c:pt idx="18">
                  <c:v>3.6473300683535843</c:v>
                </c:pt>
                <c:pt idx="19">
                  <c:v>3.6473300683535843</c:v>
                </c:pt>
                <c:pt idx="20">
                  <c:v>3.6473300683535843</c:v>
                </c:pt>
                <c:pt idx="21">
                  <c:v>3.6473300683535843</c:v>
                </c:pt>
                <c:pt idx="22">
                  <c:v>3.6473300683535843</c:v>
                </c:pt>
                <c:pt idx="23">
                  <c:v>3.6473300683535843</c:v>
                </c:pt>
                <c:pt idx="24">
                  <c:v>3.6473300683535843</c:v>
                </c:pt>
                <c:pt idx="25">
                  <c:v>3.6473300683535843</c:v>
                </c:pt>
                <c:pt idx="26">
                  <c:v>3.6473300683535843</c:v>
                </c:pt>
                <c:pt idx="27">
                  <c:v>3.6473300683535843</c:v>
                </c:pt>
                <c:pt idx="28">
                  <c:v>3.6473300683535843</c:v>
                </c:pt>
                <c:pt idx="29">
                  <c:v>3.6473300683535843</c:v>
                </c:pt>
                <c:pt idx="30">
                  <c:v>3.6473300683535843</c:v>
                </c:pt>
                <c:pt idx="31">
                  <c:v>3.6473300683535843</c:v>
                </c:pt>
                <c:pt idx="32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16-49D7-B242-B61942578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731024"/>
        <c:axId val="1719738704"/>
      </c:scatterChart>
      <c:valAx>
        <c:axId val="1719731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u="none" strike="noStrike" kern="1200" baseline="0">
                    <a:solidFill>
                      <a:sysClr val="window" lastClr="FFFFFF">
                        <a:lumMod val="75000"/>
                      </a:sysClr>
                    </a:solidFill>
                  </a:rPr>
                  <a:t>Time 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738704"/>
        <c:crosses val="autoZero"/>
        <c:crossBetween val="midCat"/>
      </c:valAx>
      <c:valAx>
        <c:axId val="171973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u="none" strike="noStrike" kern="1200" baseline="0">
                    <a:solidFill>
                      <a:sysClr val="window" lastClr="FFFFFF">
                        <a:lumMod val="75000"/>
                      </a:sysClr>
                    </a:solidFill>
                  </a:rPr>
                  <a:t>Thrust (lbf)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731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cap="none" baseline="0">
                <a:solidFill>
                  <a:sysClr val="window" lastClr="FFFFFF">
                    <a:lumMod val="85000"/>
                  </a:sysClr>
                </a:solidFill>
                <a:latin typeface="Bahnschrift Light" panose="020B0502040204020203" pitchFamily="34" charset="0"/>
              </a:rPr>
              <a:t>Thrust vs. Time (N)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EndBurner!$D$22</c:f>
              <c:strCache>
                <c:ptCount val="1"/>
                <c:pt idx="0">
                  <c:v>Thrust (N)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EndBurner!$B$23:$B$55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 formatCode="0.00">
                  <c:v>1.256640692454758</c:v>
                </c:pt>
                <c:pt idx="3" formatCode="0.00">
                  <c:v>2.5132813849095159</c:v>
                </c:pt>
                <c:pt idx="4" formatCode="0.00">
                  <c:v>3.7699220773642739</c:v>
                </c:pt>
                <c:pt idx="5" formatCode="0.00">
                  <c:v>5.0265627698190318</c:v>
                </c:pt>
                <c:pt idx="6" formatCode="0.00">
                  <c:v>6.2832034622737893</c:v>
                </c:pt>
                <c:pt idx="7" formatCode="0.00">
                  <c:v>7.5398441547285469</c:v>
                </c:pt>
                <c:pt idx="8" formatCode="0.00">
                  <c:v>8.7964848471833044</c:v>
                </c:pt>
                <c:pt idx="9" formatCode="0.00">
                  <c:v>10.053125539638062</c:v>
                </c:pt>
                <c:pt idx="10" formatCode="0.00">
                  <c:v>11.309766232092819</c:v>
                </c:pt>
                <c:pt idx="11" formatCode="0.00">
                  <c:v>12.566406924547577</c:v>
                </c:pt>
                <c:pt idx="12" formatCode="0.00">
                  <c:v>13.823047617002334</c:v>
                </c:pt>
                <c:pt idx="13" formatCode="0.00">
                  <c:v>15.079688309457092</c:v>
                </c:pt>
                <c:pt idx="14" formatCode="0.00">
                  <c:v>16.336329001911849</c:v>
                </c:pt>
                <c:pt idx="15" formatCode="0.00">
                  <c:v>17.592969694366609</c:v>
                </c:pt>
                <c:pt idx="16" formatCode="0.00">
                  <c:v>18.849610386821368</c:v>
                </c:pt>
                <c:pt idx="17" formatCode="0.00">
                  <c:v>20.106251079276127</c:v>
                </c:pt>
                <c:pt idx="18" formatCode="0.00">
                  <c:v>21.362891771730887</c:v>
                </c:pt>
                <c:pt idx="19" formatCode="0.00">
                  <c:v>22.619532464185646</c:v>
                </c:pt>
                <c:pt idx="20" formatCode="0.00">
                  <c:v>23.876173156640405</c:v>
                </c:pt>
                <c:pt idx="21" formatCode="0.00">
                  <c:v>25.132813849095164</c:v>
                </c:pt>
                <c:pt idx="22" formatCode="0.00">
                  <c:v>26.389454541549924</c:v>
                </c:pt>
                <c:pt idx="23" formatCode="0.00">
                  <c:v>27.646095234004683</c:v>
                </c:pt>
                <c:pt idx="24" formatCode="0.00">
                  <c:v>28.902735926459442</c:v>
                </c:pt>
                <c:pt idx="25" formatCode="0.00">
                  <c:v>30.159376618914202</c:v>
                </c:pt>
                <c:pt idx="26" formatCode="0.00">
                  <c:v>31.416017311368961</c:v>
                </c:pt>
                <c:pt idx="27" formatCode="0.00">
                  <c:v>32.67265800382372</c:v>
                </c:pt>
                <c:pt idx="28" formatCode="0.00">
                  <c:v>33.929298696278479</c:v>
                </c:pt>
                <c:pt idx="29" formatCode="0.00">
                  <c:v>35.185939388733239</c:v>
                </c:pt>
                <c:pt idx="30" formatCode="0.00">
                  <c:v>36.442580081187998</c:v>
                </c:pt>
                <c:pt idx="31" formatCode="0.00">
                  <c:v>37.699220773642757</c:v>
                </c:pt>
                <c:pt idx="32" formatCode="0.00">
                  <c:v>37.699220773642757</c:v>
                </c:pt>
              </c:numCache>
            </c:numRef>
          </c:xVal>
          <c:yVal>
            <c:numRef>
              <c:f>EndBurner!$D$23:$D$55</c:f>
              <c:numCache>
                <c:formatCode>0</c:formatCode>
                <c:ptCount val="33"/>
                <c:pt idx="0" formatCode="General">
                  <c:v>0</c:v>
                </c:pt>
                <c:pt idx="1">
                  <c:v>16.194145503489917</c:v>
                </c:pt>
                <c:pt idx="2">
                  <c:v>16.194145503489917</c:v>
                </c:pt>
                <c:pt idx="3">
                  <c:v>16.194145503489917</c:v>
                </c:pt>
                <c:pt idx="4">
                  <c:v>16.194145503489917</c:v>
                </c:pt>
                <c:pt idx="5">
                  <c:v>16.194145503489917</c:v>
                </c:pt>
                <c:pt idx="6">
                  <c:v>16.194145503489917</c:v>
                </c:pt>
                <c:pt idx="7">
                  <c:v>16.194145503489917</c:v>
                </c:pt>
                <c:pt idx="8">
                  <c:v>16.194145503489917</c:v>
                </c:pt>
                <c:pt idx="9">
                  <c:v>16.194145503489917</c:v>
                </c:pt>
                <c:pt idx="10">
                  <c:v>16.194145503489917</c:v>
                </c:pt>
                <c:pt idx="11">
                  <c:v>16.194145503489917</c:v>
                </c:pt>
                <c:pt idx="12">
                  <c:v>16.194145503489917</c:v>
                </c:pt>
                <c:pt idx="13">
                  <c:v>16.194145503489917</c:v>
                </c:pt>
                <c:pt idx="14">
                  <c:v>16.194145503489917</c:v>
                </c:pt>
                <c:pt idx="15">
                  <c:v>16.194145503489917</c:v>
                </c:pt>
                <c:pt idx="16">
                  <c:v>16.194145503489917</c:v>
                </c:pt>
                <c:pt idx="17">
                  <c:v>16.194145503489917</c:v>
                </c:pt>
                <c:pt idx="18">
                  <c:v>16.194145503489917</c:v>
                </c:pt>
                <c:pt idx="19">
                  <c:v>16.194145503489917</c:v>
                </c:pt>
                <c:pt idx="20">
                  <c:v>16.194145503489917</c:v>
                </c:pt>
                <c:pt idx="21">
                  <c:v>16.194145503489917</c:v>
                </c:pt>
                <c:pt idx="22">
                  <c:v>16.194145503489917</c:v>
                </c:pt>
                <c:pt idx="23">
                  <c:v>16.194145503489917</c:v>
                </c:pt>
                <c:pt idx="24">
                  <c:v>16.194145503489917</c:v>
                </c:pt>
                <c:pt idx="25">
                  <c:v>16.194145503489917</c:v>
                </c:pt>
                <c:pt idx="26">
                  <c:v>16.194145503489917</c:v>
                </c:pt>
                <c:pt idx="27">
                  <c:v>16.194145503489917</c:v>
                </c:pt>
                <c:pt idx="28">
                  <c:v>16.194145503489917</c:v>
                </c:pt>
                <c:pt idx="29">
                  <c:v>16.194145503489917</c:v>
                </c:pt>
                <c:pt idx="30">
                  <c:v>16.194145503489917</c:v>
                </c:pt>
                <c:pt idx="31">
                  <c:v>16.194145503489917</c:v>
                </c:pt>
                <c:pt idx="32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CF-40C5-BEDC-33DA100ED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731024"/>
        <c:axId val="1719738704"/>
      </c:scatterChart>
      <c:valAx>
        <c:axId val="1719731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u="none" strike="noStrike" kern="1200" baseline="0">
                    <a:solidFill>
                      <a:sysClr val="window" lastClr="FFFFFF">
                        <a:lumMod val="75000"/>
                      </a:sysClr>
                    </a:solidFill>
                  </a:rPr>
                  <a:t>Time 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738704"/>
        <c:crosses val="autoZero"/>
        <c:crossBetween val="midCat"/>
      </c:valAx>
      <c:valAx>
        <c:axId val="171973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u="none" strike="noStrike" kern="1200" baseline="0">
                    <a:solidFill>
                      <a:sysClr val="window" lastClr="FFFFFF">
                        <a:lumMod val="75000"/>
                      </a:sysClr>
                    </a:solidFill>
                  </a:rPr>
                  <a:t>Thrust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731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latin typeface="Bahnschrift Light" panose="020B0502040204020203" pitchFamily="34" charset="0"/>
              </a:rPr>
              <a:t>Thrust vs. Time (lbf)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Bates!$K$24</c:f>
              <c:strCache>
                <c:ptCount val="1"/>
                <c:pt idx="0">
                  <c:v>Thrust (lbf)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Bates!$J$25:$J$76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5.0386148199912224E-2</c:v>
                </c:pt>
                <c:pt idx="2">
                  <c:v>0.10037649159615958</c:v>
                </c:pt>
                <c:pt idx="3">
                  <c:v>0.149994643725962</c:v>
                </c:pt>
                <c:pt idx="4">
                  <c:v>0.19926242742636993</c:v>
                </c:pt>
                <c:pt idx="5">
                  <c:v>0.24820007731923543</c:v>
                </c:pt>
                <c:pt idx="6">
                  <c:v>0.29682641409203869</c:v>
                </c:pt>
                <c:pt idx="7">
                  <c:v>0.34515899529585969</c:v>
                </c:pt>
                <c:pt idx="8">
                  <c:v>0.39321424647300046</c:v>
                </c:pt>
                <c:pt idx="9">
                  <c:v>0.4410075757148228</c:v>
                </c:pt>
                <c:pt idx="10">
                  <c:v>0.48855347418819683</c:v>
                </c:pt>
                <c:pt idx="11">
                  <c:v>0.53586560472174605</c:v>
                </c:pt>
                <c:pt idx="12">
                  <c:v>0.58295688018483183</c:v>
                </c:pt>
                <c:pt idx="13">
                  <c:v>0.62983953310337182</c:v>
                </c:pt>
                <c:pt idx="14">
                  <c:v>0.67652517772224907</c:v>
                </c:pt>
                <c:pt idx="15">
                  <c:v>0.72302486553286183</c:v>
                </c:pt>
                <c:pt idx="16">
                  <c:v>0.76934913512749203</c:v>
                </c:pt>
                <c:pt idx="17">
                  <c:v>0.81550805711281116</c:v>
                </c:pt>
                <c:pt idx="18">
                  <c:v>0.86151127470765299</c:v>
                </c:pt>
                <c:pt idx="19">
                  <c:v>0.90736804056096099</c:v>
                </c:pt>
                <c:pt idx="20">
                  <c:v>0.95308725025123342</c:v>
                </c:pt>
                <c:pt idx="21">
                  <c:v>0.99867747286619635</c:v>
                </c:pt>
                <c:pt idx="22">
                  <c:v>1.0441469790087006</c:v>
                </c:pt>
                <c:pt idx="23">
                  <c:v>1.0895037665302716</c:v>
                </c:pt>
                <c:pt idx="24">
                  <c:v>1.1347555842559438</c:v>
                </c:pt>
                <c:pt idx="25">
                  <c:v>1.1799099539318736</c:v>
                </c:pt>
                <c:pt idx="26">
                  <c:v>1.224974190599829</c:v>
                </c:pt>
                <c:pt idx="27">
                  <c:v>1.2699554215792497</c:v>
                </c:pt>
                <c:pt idx="28">
                  <c:v>1.314860604217543</c:v>
                </c:pt>
                <c:pt idx="29">
                  <c:v>1.3596965425521295</c:v>
                </c:pt>
                <c:pt idx="30">
                  <c:v>1.4044699030130396</c:v>
                </c:pt>
                <c:pt idx="31">
                  <c:v>1.4491872292822714</c:v>
                </c:pt>
                <c:pt idx="32">
                  <c:v>1.4938549564153236</c:v>
                </c:pt>
                <c:pt idx="33">
                  <c:v>1.5384794243211215</c:v>
                </c:pt>
                <c:pt idx="34">
                  <c:v>1.5830668906887146</c:v>
                </c:pt>
                <c:pt idx="35">
                  <c:v>1.6276235434425173</c:v>
                </c:pt>
                <c:pt idx="36">
                  <c:v>1.6721555128023247</c:v>
                </c:pt>
                <c:pt idx="37">
                  <c:v>1.7166688830197714</c:v>
                </c:pt>
                <c:pt idx="38">
                  <c:v>1.7611697038592109</c:v>
                </c:pt>
                <c:pt idx="39">
                  <c:v>1.805664001888114</c:v>
                </c:pt>
                <c:pt idx="40">
                  <c:v>1.8501577916399572</c:v>
                </c:pt>
                <c:pt idx="41">
                  <c:v>1.8946570867111538</c:v>
                </c:pt>
                <c:pt idx="42">
                  <c:v>1.9391679108528568</c:v>
                </c:pt>
                <c:pt idx="43">
                  <c:v>1.9836963091183983</c:v>
                </c:pt>
                <c:pt idx="44">
                  <c:v>2.0282483591277534</c:v>
                </c:pt>
                <c:pt idx="45">
                  <c:v>2.0728301825117059</c:v>
                </c:pt>
                <c:pt idx="46">
                  <c:v>2.1174479566004076</c:v>
                </c:pt>
                <c:pt idx="47">
                  <c:v>2.1621079264237633</c:v>
                </c:pt>
                <c:pt idx="48">
                  <c:v>2.2068164170946267</c:v>
                </c:pt>
                <c:pt idx="49">
                  <c:v>2.2515798466502051</c:v>
                </c:pt>
                <c:pt idx="50">
                  <c:v>2.2964047394324294</c:v>
                </c:pt>
                <c:pt idx="51">
                  <c:v>2.3412296322146537</c:v>
                </c:pt>
              </c:numCache>
            </c:numRef>
          </c:xVal>
          <c:yVal>
            <c:numRef>
              <c:f>Bates!$K$25:$K$76</c:f>
              <c:numCache>
                <c:formatCode>0.000</c:formatCode>
                <c:ptCount val="52"/>
                <c:pt idx="0" formatCode="General">
                  <c:v>0</c:v>
                </c:pt>
                <c:pt idx="1">
                  <c:v>39.541116258446252</c:v>
                </c:pt>
                <c:pt idx="2">
                  <c:v>41.142693679708252</c:v>
                </c:pt>
                <c:pt idx="3">
                  <c:v>42.718337514537367</c:v>
                </c:pt>
                <c:pt idx="4">
                  <c:v>44.266478240905883</c:v>
                </c:pt>
                <c:pt idx="5">
                  <c:v>45.785638017244935</c:v>
                </c:pt>
                <c:pt idx="6">
                  <c:v>47.274423828098335</c:v>
                </c:pt>
                <c:pt idx="7">
                  <c:v>48.731521422852929</c:v>
                </c:pt>
                <c:pt idx="8">
                  <c:v>50.155689934807455</c:v>
                </c:pt>
                <c:pt idx="9">
                  <c:v>51.545757087027312</c:v>
                </c:pt>
                <c:pt idx="10">
                  <c:v>52.900614906878943</c:v>
                </c:pt>
                <c:pt idx="11">
                  <c:v>54.219215883663615</c:v>
                </c:pt>
                <c:pt idx="12">
                  <c:v>55.500569513995792</c:v>
                </c:pt>
                <c:pt idx="13">
                  <c:v>56.743739187967812</c:v>
                </c:pt>
                <c:pt idx="14">
                  <c:v>57.947839376084417</c:v>
                </c:pt>
                <c:pt idx="15">
                  <c:v>59.112033082715087</c:v>
                </c:pt>
                <c:pt idx="16">
                  <c:v>60.235529536628952</c:v>
                </c:pt>
                <c:pt idx="17">
                  <c:v>61.317582093221034</c:v>
                </c:pt>
                <c:pt idx="18">
                  <c:v>62.357486326451323</c:v>
                </c:pt>
                <c:pt idx="19">
                  <c:v>63.354578291407329</c:v>
                </c:pt>
                <c:pt idx="20">
                  <c:v>64.308232940866148</c:v>
                </c:pt>
                <c:pt idx="21">
                  <c:v>65.217862681334083</c:v>
                </c:pt>
                <c:pt idx="22">
                  <c:v>66.082916055853332</c:v>
                </c:pt>
                <c:pt idx="23">
                  <c:v>66.902876542421694</c:v>
                </c:pt>
                <c:pt idx="24">
                  <c:v>67.677261458221324</c:v>
                </c:pt>
                <c:pt idx="25">
                  <c:v>68.405620961030095</c:v>
                </c:pt>
                <c:pt idx="26">
                  <c:v>69.08753714020844</c:v>
                </c:pt>
                <c:pt idx="27">
                  <c:v>69.722623190556476</c:v>
                </c:pt>
                <c:pt idx="28">
                  <c:v>70.310522663127571</c:v>
                </c:pt>
                <c:pt idx="29">
                  <c:v>70.850908787781918</c:v>
                </c:pt>
                <c:pt idx="30">
                  <c:v>71.343483862886075</c:v>
                </c:pt>
                <c:pt idx="31">
                  <c:v>71.787978708121855</c:v>
                </c:pt>
                <c:pt idx="32">
                  <c:v>72.184152176861801</c:v>
                </c:pt>
                <c:pt idx="33">
                  <c:v>72.531790725023242</c:v>
                </c:pt>
                <c:pt idx="34">
                  <c:v>72.830708033717826</c:v>
                </c:pt>
                <c:pt idx="35">
                  <c:v>73.080744683389725</c:v>
                </c:pt>
                <c:pt idx="36">
                  <c:v>73.281767877478572</c:v>
                </c:pt>
                <c:pt idx="37">
                  <c:v>73.433671213964061</c:v>
                </c:pt>
                <c:pt idx="38">
                  <c:v>73.536374503448698</c:v>
                </c:pt>
                <c:pt idx="39">
                  <c:v>73.589823632718151</c:v>
                </c:pt>
                <c:pt idx="40">
                  <c:v>73.593990472988423</c:v>
                </c:pt>
                <c:pt idx="41">
                  <c:v>73.548872832314913</c:v>
                </c:pt>
                <c:pt idx="42">
                  <c:v>73.454494451885452</c:v>
                </c:pt>
                <c:pt idx="43">
                  <c:v>73.310905046180665</c:v>
                </c:pt>
                <c:pt idx="44">
                  <c:v>73.118180387229032</c:v>
                </c:pt>
                <c:pt idx="45">
                  <c:v>72.876422433442229</c:v>
                </c:pt>
                <c:pt idx="46">
                  <c:v>72.585759503776814</c:v>
                </c:pt>
                <c:pt idx="47">
                  <c:v>72.246346498233876</c:v>
                </c:pt>
                <c:pt idx="48">
                  <c:v>71.858365165993291</c:v>
                </c:pt>
                <c:pt idx="49">
                  <c:v>71.422024422772779</c:v>
                </c:pt>
                <c:pt idx="50">
                  <c:v>70.93756071932026</c:v>
                </c:pt>
                <c:pt idx="51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02-4A59-A85A-61B0D16D1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637135"/>
        <c:axId val="693618623"/>
      </c:scatterChart>
      <c:valAx>
        <c:axId val="848637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618623"/>
        <c:crosses val="autoZero"/>
        <c:crossBetween val="midCat"/>
      </c:valAx>
      <c:valAx>
        <c:axId val="69361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(lbf)</a:t>
                </a:r>
              </a:p>
            </c:rich>
          </c:tx>
          <c:layout>
            <c:manualLayout>
              <c:xMode val="edge"/>
              <c:yMode val="edge"/>
              <c:x val="2.3350846468184472E-2"/>
              <c:y val="0.36338177180099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37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769620</xdr:colOff>
      <xdr:row>7</xdr:row>
      <xdr:rowOff>121920</xdr:rowOff>
    </xdr:from>
    <xdr:to>
      <xdr:col>11</xdr:col>
      <xdr:colOff>30480</xdr:colOff>
      <xdr:row>22</xdr:row>
      <xdr:rowOff>7620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B2DCB65-C779-F184-5532-93E95BE7E5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160020</xdr:colOff>
      <xdr:row>7</xdr:row>
      <xdr:rowOff>114300</xdr:rowOff>
    </xdr:from>
    <xdr:to>
      <xdr:col>18</xdr:col>
      <xdr:colOff>464820</xdr:colOff>
      <xdr:row>22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E91528D-F569-4D34-8F56-04F27FD56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350520</xdr:colOff>
      <xdr:row>0</xdr:row>
      <xdr:rowOff>99060</xdr:rowOff>
    </xdr:from>
    <xdr:to>
      <xdr:col>18</xdr:col>
      <xdr:colOff>594360</xdr:colOff>
      <xdr:row>5</xdr:row>
      <xdr:rowOff>75065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B20448-54AD-401C-BBC5-CF719D5D0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9334500" y="99060"/>
          <a:ext cx="3002280" cy="974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</xdr:colOff>
      <xdr:row>7</xdr:row>
      <xdr:rowOff>57150</xdr:rowOff>
    </xdr:from>
    <xdr:to>
      <xdr:col>11</xdr:col>
      <xdr:colOff>196215</xdr:colOff>
      <xdr:row>21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5CE78F-6328-4FDE-9D4D-CC30A5232DC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400050</xdr:colOff>
      <xdr:row>7</xdr:row>
      <xdr:rowOff>55244</xdr:rowOff>
    </xdr:from>
    <xdr:to>
      <xdr:col>18</xdr:col>
      <xdr:colOff>607695</xdr:colOff>
      <xdr:row>21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830DC1-3D5B-4D43-A8A8-86E67405E92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510540</xdr:colOff>
      <xdr:row>0</xdr:row>
      <xdr:rowOff>98694</xdr:rowOff>
    </xdr:from>
    <xdr:to>
      <xdr:col>18</xdr:col>
      <xdr:colOff>594360</xdr:colOff>
      <xdr:row>5</xdr:row>
      <xdr:rowOff>74699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231AFA-7418-46B1-A596-50CD8AAAA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9677400" y="98694"/>
          <a:ext cx="3002280" cy="974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678180</xdr:colOff>
      <xdr:row>8</xdr:row>
      <xdr:rowOff>106680</xdr:rowOff>
    </xdr:from>
    <xdr:to>
      <xdr:col>10</xdr:col>
      <xdr:colOff>617220</xdr:colOff>
      <xdr:row>22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16E358-8FE8-41FF-941C-F681E5293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68580</xdr:colOff>
      <xdr:row>8</xdr:row>
      <xdr:rowOff>99060</xdr:rowOff>
    </xdr:from>
    <xdr:to>
      <xdr:col>18</xdr:col>
      <xdr:colOff>373380</xdr:colOff>
      <xdr:row>22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67FAA7-883D-4953-928B-67A5EF360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350520</xdr:colOff>
      <xdr:row>0</xdr:row>
      <xdr:rowOff>99060</xdr:rowOff>
    </xdr:from>
    <xdr:to>
      <xdr:col>18</xdr:col>
      <xdr:colOff>594360</xdr:colOff>
      <xdr:row>5</xdr:row>
      <xdr:rowOff>75065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6EEEE1-9817-4900-BEB4-9E2A38D34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9784080" y="99060"/>
          <a:ext cx="3002280" cy="974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335280</xdr:colOff>
      <xdr:row>1</xdr:row>
      <xdr:rowOff>76200</xdr:rowOff>
    </xdr:from>
    <xdr:to>
      <xdr:col>13</xdr:col>
      <xdr:colOff>160020</xdr:colOff>
      <xdr:row>6</xdr:row>
      <xdr:rowOff>52205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7E7A04-DE81-4885-B547-212D92C2E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6537960" y="259080"/>
          <a:ext cx="3002280" cy="974225"/>
        </a:xfrm>
        <a:prstGeom prst="rect">
          <a:avLst/>
        </a:prstGeom>
      </xdr:spPr>
    </xdr:pic>
    <xdr:clientData/>
  </xdr:twoCellAnchor>
  <xdr:twoCellAnchor>
    <xdr:from>
      <xdr:col>6</xdr:col>
      <xdr:colOff>175260</xdr:colOff>
      <xdr:row>8</xdr:row>
      <xdr:rowOff>72390</xdr:rowOff>
    </xdr:from>
    <xdr:to>
      <xdr:col>13</xdr:col>
      <xdr:colOff>45720</xdr:colOff>
      <xdr:row>21</xdr:row>
      <xdr:rowOff>179070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2E9E477-01B2-D674-E95E-C78C009F4C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144780</xdr:colOff>
      <xdr:row>8</xdr:row>
      <xdr:rowOff>76200</xdr:rowOff>
    </xdr:from>
    <xdr:to>
      <xdr:col>21</xdr:col>
      <xdr:colOff>0</xdr:colOff>
      <xdr:row>22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B2D47F6-5006-4EFC-A70E-3A137AE52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769620</xdr:colOff>
      <xdr:row>7</xdr:row>
      <xdr:rowOff>121920</xdr:rowOff>
    </xdr:from>
    <xdr:to>
      <xdr:col>11</xdr:col>
      <xdr:colOff>30480</xdr:colOff>
      <xdr:row>22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18B765-F5A5-49A3-82A8-C0374F0AE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160020</xdr:colOff>
      <xdr:row>7</xdr:row>
      <xdr:rowOff>114300</xdr:rowOff>
    </xdr:from>
    <xdr:to>
      <xdr:col>18</xdr:col>
      <xdr:colOff>464820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AA8194-063B-43E9-9CAC-7CCB6C2D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350520</xdr:colOff>
      <xdr:row>0</xdr:row>
      <xdr:rowOff>99060</xdr:rowOff>
    </xdr:from>
    <xdr:ext cx="3002280" cy="974225"/>
    <xdr:pic>
      <xdr:nvPicPr>
        <xdr:cNvPr id="4" name="Picture 3">
          <a:extLst>
            <a:ext uri="{FF2B5EF4-FFF2-40B4-BE49-F238E27FC236}">
              <a16:creationId xmlns:a16="http://schemas.microsoft.com/office/drawing/2014/main" id="{FFEE6162-7159-46FC-9CF7-AA168E3C2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8275320" y="99060"/>
          <a:ext cx="3002280" cy="974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F3DA-267D-4F1C-82AD-98A3D957533F}">
  <dimension ref="A2:N76"/>
  <sheetViews>
    <sheetView showGridLines="0" tabSelected="1" zoomScaleNormal="100" workbookViewId="0">
      <selection activeCell="C3" sqref="C3"/>
    </sheetView>
  </sheetViews>
  <sheetFormatPr defaultRowHeight="14.4" x14ac:dyDescent="0.3"/>
  <cols>
    <col min="1" max="1" width="14.5546875" customWidth="1"/>
    <col min="2" max="2" width="9.21875" customWidth="1"/>
    <col min="3" max="3" width="9.33203125" customWidth="1"/>
    <col min="4" max="4" width="12.44140625" customWidth="1"/>
    <col min="5" max="5" width="12.5546875" customWidth="1"/>
    <col min="6" max="6" width="10.88671875" customWidth="1"/>
    <col min="7" max="7" width="11.6640625" customWidth="1"/>
    <col min="8" max="8" width="10.5546875" customWidth="1"/>
    <col min="9" max="9" width="8.44140625" customWidth="1"/>
    <col min="10" max="10" width="10.21875" customWidth="1"/>
    <col min="11" max="11" width="9.88671875" customWidth="1"/>
    <col min="14" max="14" width="7" customWidth="1"/>
    <col min="15" max="15" width="7.88671875" customWidth="1"/>
    <col min="18" max="18" width="7.5546875" customWidth="1"/>
  </cols>
  <sheetData>
    <row r="2" spans="1:14" ht="21" x14ac:dyDescent="0.4">
      <c r="A2" s="40" t="s">
        <v>0</v>
      </c>
      <c r="B2" s="40"/>
      <c r="C2" s="40"/>
      <c r="D2" s="40"/>
      <c r="E2" s="40" t="s">
        <v>1</v>
      </c>
      <c r="F2" s="40"/>
      <c r="G2" s="40"/>
      <c r="H2" s="40"/>
      <c r="I2" s="40" t="s">
        <v>18</v>
      </c>
      <c r="J2" s="40"/>
      <c r="K2" s="40"/>
      <c r="L2" s="40"/>
      <c r="M2" s="40"/>
      <c r="N2" s="7"/>
    </row>
    <row r="3" spans="1:14" x14ac:dyDescent="0.3">
      <c r="B3" s="1" t="s">
        <v>6</v>
      </c>
      <c r="C3" s="18">
        <v>1.214</v>
      </c>
      <c r="D3" s="3" t="s">
        <v>9</v>
      </c>
      <c r="F3" s="1" t="s">
        <v>2</v>
      </c>
      <c r="G3" s="18">
        <v>6.2E-2</v>
      </c>
      <c r="H3" t="s">
        <v>3</v>
      </c>
      <c r="K3" s="1" t="s">
        <v>19</v>
      </c>
      <c r="L3" s="8">
        <f>(C3-C4)/50</f>
        <v>1.4279999999999999E-2</v>
      </c>
      <c r="M3" t="s">
        <v>9</v>
      </c>
    </row>
    <row r="4" spans="1:14" x14ac:dyDescent="0.3">
      <c r="B4" s="1" t="s">
        <v>7</v>
      </c>
      <c r="C4" s="18">
        <v>0.5</v>
      </c>
      <c r="D4" s="3" t="s">
        <v>9</v>
      </c>
      <c r="F4" s="1" t="s">
        <v>4</v>
      </c>
      <c r="G4" s="18">
        <v>6.7599999999999993E-2</v>
      </c>
      <c r="H4" t="s">
        <v>35</v>
      </c>
      <c r="K4" s="1" t="s">
        <v>20</v>
      </c>
      <c r="L4" s="8">
        <f>(C8-C5)/50</f>
        <v>7.140000000000004E-3</v>
      </c>
      <c r="M4" t="s">
        <v>9</v>
      </c>
    </row>
    <row r="5" spans="1:14" x14ac:dyDescent="0.3">
      <c r="B5" s="1" t="s">
        <v>8</v>
      </c>
      <c r="C5" s="18">
        <v>6.625</v>
      </c>
      <c r="D5" s="3" t="s">
        <v>9</v>
      </c>
      <c r="F5" s="1" t="s">
        <v>5</v>
      </c>
      <c r="G5" s="18">
        <v>0.22</v>
      </c>
    </row>
    <row r="6" spans="1:14" x14ac:dyDescent="0.3">
      <c r="B6" s="1" t="s">
        <v>65</v>
      </c>
      <c r="C6" s="18">
        <v>0.375</v>
      </c>
      <c r="D6" s="3" t="s">
        <v>9</v>
      </c>
      <c r="F6" s="1" t="s">
        <v>10</v>
      </c>
      <c r="G6" s="18">
        <v>885</v>
      </c>
      <c r="H6" t="s">
        <v>12</v>
      </c>
    </row>
    <row r="7" spans="1:14" x14ac:dyDescent="0.3">
      <c r="B7" s="1" t="s">
        <v>68</v>
      </c>
      <c r="C7" s="18">
        <v>14.7</v>
      </c>
      <c r="D7" s="3" t="s">
        <v>69</v>
      </c>
      <c r="F7" s="1" t="s">
        <v>67</v>
      </c>
      <c r="G7" s="18">
        <v>1.137</v>
      </c>
    </row>
    <row r="8" spans="1:14" x14ac:dyDescent="0.3">
      <c r="B8" s="1" t="s">
        <v>15</v>
      </c>
      <c r="C8" s="2">
        <f>((C3-C4)/2)+C5</f>
        <v>6.9820000000000002</v>
      </c>
      <c r="D8" s="3" t="s">
        <v>9</v>
      </c>
    </row>
    <row r="9" spans="1:14" x14ac:dyDescent="0.3">
      <c r="B9" s="1" t="s">
        <v>13</v>
      </c>
      <c r="C9" s="4">
        <f>(((3.14*(C3/2)^2)*C8)-((3.14*(C4/2)^2)*C5))*G3</f>
        <v>0.42020673801623998</v>
      </c>
      <c r="D9" s="3" t="s">
        <v>14</v>
      </c>
    </row>
    <row r="10" spans="1:14" x14ac:dyDescent="0.3">
      <c r="B10" s="1"/>
      <c r="C10" s="6"/>
      <c r="D10" s="3"/>
    </row>
    <row r="11" spans="1:14" x14ac:dyDescent="0.3">
      <c r="B11" s="1"/>
      <c r="C11" s="6"/>
      <c r="D11" s="3"/>
    </row>
    <row r="12" spans="1:14" ht="20.399999999999999" x14ac:dyDescent="0.35">
      <c r="A12" s="40" t="s">
        <v>22</v>
      </c>
      <c r="B12" s="40"/>
      <c r="C12" s="40"/>
      <c r="D12" s="40"/>
    </row>
    <row r="13" spans="1:14" x14ac:dyDescent="0.3">
      <c r="B13" s="1" t="s">
        <v>23</v>
      </c>
      <c r="C13" s="5">
        <f>SUM(M25:M76)</f>
        <v>44.804474541406876</v>
      </c>
      <c r="D13" s="3" t="s">
        <v>24</v>
      </c>
      <c r="E13" s="3"/>
      <c r="F13" s="3"/>
      <c r="G13" s="3"/>
    </row>
    <row r="14" spans="1:14" x14ac:dyDescent="0.3">
      <c r="B14" s="1" t="s">
        <v>23</v>
      </c>
      <c r="C14" s="5">
        <f>C13*4.44</f>
        <v>198.93186696384655</v>
      </c>
      <c r="D14" s="3" t="s">
        <v>25</v>
      </c>
      <c r="E14" s="3"/>
      <c r="F14" s="3"/>
      <c r="G14" s="3"/>
    </row>
    <row r="15" spans="1:14" x14ac:dyDescent="0.3">
      <c r="B15" s="1" t="s">
        <v>27</v>
      </c>
      <c r="C15" s="35">
        <f>J76</f>
        <v>1.692269163043632</v>
      </c>
      <c r="D15" s="3" t="s">
        <v>28</v>
      </c>
      <c r="E15" s="3"/>
      <c r="F15" s="3"/>
      <c r="G15" s="3"/>
    </row>
    <row r="16" spans="1:14" x14ac:dyDescent="0.3">
      <c r="B16" s="1" t="s">
        <v>26</v>
      </c>
      <c r="C16" s="5">
        <f>C13/C15</f>
        <v>26.475974106166277</v>
      </c>
      <c r="D16" s="3" t="s">
        <v>29</v>
      </c>
      <c r="E16" s="3"/>
      <c r="F16" s="3"/>
      <c r="G16" s="3"/>
    </row>
    <row r="17" spans="1:13" x14ac:dyDescent="0.3">
      <c r="B17" s="1" t="s">
        <v>26</v>
      </c>
      <c r="C17" s="5">
        <f>C16*4.44</f>
        <v>117.55332503137828</v>
      </c>
      <c r="D17" s="3" t="s">
        <v>30</v>
      </c>
      <c r="E17" s="3"/>
      <c r="F17" s="3"/>
      <c r="G17" s="3"/>
    </row>
    <row r="18" spans="1:13" x14ac:dyDescent="0.3">
      <c r="B18" s="1" t="s">
        <v>52</v>
      </c>
      <c r="C18" s="5">
        <f>C13/C9</f>
        <v>106.62483603410303</v>
      </c>
      <c r="D18" s="3" t="s">
        <v>28</v>
      </c>
      <c r="E18" s="3"/>
      <c r="F18" s="3"/>
      <c r="G18" s="3"/>
    </row>
    <row r="19" spans="1:13" x14ac:dyDescent="0.3">
      <c r="B19" s="1" t="s">
        <v>70</v>
      </c>
      <c r="C19" s="5">
        <f>MAX(F25:F76)</f>
        <v>326.38530955825678</v>
      </c>
      <c r="D19" s="3" t="s">
        <v>69</v>
      </c>
      <c r="E19" s="3"/>
      <c r="F19" s="3"/>
      <c r="G19" s="3"/>
    </row>
    <row r="20" spans="1:13" x14ac:dyDescent="0.3">
      <c r="B20" s="1" t="s">
        <v>71</v>
      </c>
      <c r="C20" s="5">
        <f>MAX(K25:K76)</f>
        <v>46.911592626584451</v>
      </c>
      <c r="D20" s="3" t="s">
        <v>29</v>
      </c>
      <c r="E20" s="3"/>
      <c r="F20" s="3"/>
      <c r="G20" s="3"/>
    </row>
    <row r="21" spans="1:13" x14ac:dyDescent="0.3">
      <c r="B21" s="1" t="s">
        <v>71</v>
      </c>
      <c r="C21" s="5">
        <f>C20*4.44</f>
        <v>208.28747126203498</v>
      </c>
      <c r="D21" s="3" t="s">
        <v>30</v>
      </c>
      <c r="E21" s="3"/>
      <c r="F21" s="3"/>
      <c r="G21" s="3"/>
    </row>
    <row r="22" spans="1:13" x14ac:dyDescent="0.3">
      <c r="B22" s="1" t="s">
        <v>106</v>
      </c>
      <c r="C22" s="4" t="str">
        <f>VLOOKUP(C14,'Motor Classification'!B3:C21,2,TRUE)</f>
        <v>H</v>
      </c>
      <c r="D22" s="3"/>
      <c r="E22" s="3"/>
      <c r="F22" s="3"/>
      <c r="G22" s="3"/>
    </row>
    <row r="24" spans="1:13" ht="47.4" customHeight="1" x14ac:dyDescent="0.3">
      <c r="B24" s="9" t="s">
        <v>62</v>
      </c>
      <c r="C24" s="9" t="s">
        <v>55</v>
      </c>
      <c r="D24" s="9" t="s">
        <v>56</v>
      </c>
      <c r="E24" s="9" t="s">
        <v>11</v>
      </c>
      <c r="F24" s="9" t="s">
        <v>57</v>
      </c>
      <c r="G24" s="9" t="s">
        <v>66</v>
      </c>
      <c r="H24" s="9" t="s">
        <v>58</v>
      </c>
      <c r="I24" s="9" t="s">
        <v>59</v>
      </c>
      <c r="J24" s="9" t="s">
        <v>60</v>
      </c>
      <c r="K24" s="9" t="s">
        <v>16</v>
      </c>
      <c r="L24" s="9" t="s">
        <v>31</v>
      </c>
      <c r="M24" s="9" t="s">
        <v>61</v>
      </c>
    </row>
    <row r="25" spans="1:13" x14ac:dyDescent="0.3">
      <c r="B25" s="2">
        <v>0</v>
      </c>
      <c r="C25" s="2">
        <f>C4</f>
        <v>0.5</v>
      </c>
      <c r="D25" s="2">
        <f>C5</f>
        <v>6.625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</row>
    <row r="26" spans="1:13" x14ac:dyDescent="0.3">
      <c r="A26" s="1" t="s">
        <v>17</v>
      </c>
      <c r="B26" s="2">
        <v>1</v>
      </c>
      <c r="C26" s="2">
        <f>C25+$L$3</f>
        <v>0.51427999999999996</v>
      </c>
      <c r="D26" s="2">
        <f>D25+$L$4</f>
        <v>6.6321399999999997</v>
      </c>
      <c r="E26" s="5">
        <f t="shared" ref="E26:E57" si="0">((3.14*(C26/2)^2)+((6.28*(C26/2))*D26))/(3.14*($C$6/2)^2)</f>
        <v>98.898430259199984</v>
      </c>
      <c r="F26" s="5">
        <f>(((E26*$G$3*$G$4*($G$6*39.37))/(386.4))^(1/(1-$G$5)))*0.95</f>
        <v>98.599933075988616</v>
      </c>
      <c r="G26" s="35">
        <f>(SQRT((2*($G$7^2)/($G$7-1))*((2/($G$7+1))^(($G$7+1)/($G$7-1)))*((1-($C$7/F26)^(($G$7-1)/$G$7)))))*0.9</f>
        <v>1.0556971352255522</v>
      </c>
      <c r="H26" s="4">
        <f t="shared" ref="H26:H57" si="1">$G$4*F26^$G$5</f>
        <v>0.18560922286525228</v>
      </c>
      <c r="I26" s="4">
        <f>$L$4/H26</f>
        <v>3.8467916032294734E-2</v>
      </c>
      <c r="J26" s="4">
        <f>J25+I26</f>
        <v>3.8467916032294734E-2</v>
      </c>
      <c r="K26" s="4">
        <f>(3.14*($C$6/2)^2)*F26*G26</f>
        <v>11.490744164368444</v>
      </c>
      <c r="L26" s="4">
        <f>K26*4.44</f>
        <v>51.018904089795896</v>
      </c>
      <c r="M26" s="4">
        <f>K26*I26</f>
        <v>0.44202498166350601</v>
      </c>
    </row>
    <row r="27" spans="1:13" x14ac:dyDescent="0.3">
      <c r="B27" s="2">
        <v>2</v>
      </c>
      <c r="C27" s="2">
        <f t="shared" ref="C27:C75" si="2">C26+$L$3</f>
        <v>0.52855999999999992</v>
      </c>
      <c r="D27" s="2">
        <f t="shared" ref="D27:D75" si="3">D26+$L$4</f>
        <v>6.6392799999999994</v>
      </c>
      <c r="E27" s="5">
        <f t="shared" si="0"/>
        <v>101.80556103679999</v>
      </c>
      <c r="F27" s="5">
        <f t="shared" ref="F27:F75" si="4">(((E27*$G$3*$G$4*($G$6*39.37))/(386.4))^(1/(1-$G$5)))*0.95</f>
        <v>102.33107151362302</v>
      </c>
      <c r="G27" s="35">
        <f t="shared" ref="G27:G75" si="5">(SQRT((2*($G$7^2)/($G$7-1))*((2/($G$7+1))^(($G$7+1)/($G$7-1)))*((1-($C$7/F27)^(($G$7-1)/$G$7)))))*0.9</f>
        <v>1.0648026663990113</v>
      </c>
      <c r="H27" s="4">
        <f t="shared" si="1"/>
        <v>0.18713212560746048</v>
      </c>
      <c r="I27" s="4">
        <f t="shared" ref="I27:I75" si="6">$L$4/H27</f>
        <v>3.815485971113957E-2</v>
      </c>
      <c r="J27" s="4">
        <f>J26+I27</f>
        <v>7.6622775743434304E-2</v>
      </c>
      <c r="K27" s="4">
        <f t="shared" ref="K27:K75" si="7">(3.14*($C$6/2)^2)*F27*G27</f>
        <v>12.028427194990972</v>
      </c>
      <c r="L27" s="4">
        <f t="shared" ref="L27:L76" si="8">K27*4.44</f>
        <v>53.40621674575992</v>
      </c>
      <c r="M27" s="4">
        <f t="shared" ref="M27:M76" si="9">K27*I27</f>
        <v>0.45894295217053654</v>
      </c>
    </row>
    <row r="28" spans="1:13" x14ac:dyDescent="0.3">
      <c r="B28" s="2">
        <v>3</v>
      </c>
      <c r="C28" s="2">
        <f t="shared" si="2"/>
        <v>0.54283999999999988</v>
      </c>
      <c r="D28" s="2">
        <f t="shared" si="3"/>
        <v>6.6464199999999991</v>
      </c>
      <c r="E28" s="5">
        <f t="shared" si="0"/>
        <v>104.72139233279997</v>
      </c>
      <c r="F28" s="5">
        <f t="shared" si="4"/>
        <v>106.10368769610562</v>
      </c>
      <c r="G28" s="35">
        <f t="shared" si="5"/>
        <v>1.0735649566556125</v>
      </c>
      <c r="H28" s="4">
        <f t="shared" si="1"/>
        <v>0.18862853908328669</v>
      </c>
      <c r="I28" s="4">
        <f t="shared" si="6"/>
        <v>3.7852172501041434E-2</v>
      </c>
      <c r="J28" s="4">
        <f t="shared" ref="J28:J76" si="10">J27+I28</f>
        <v>0.11447494824447574</v>
      </c>
      <c r="K28" s="4">
        <f t="shared" si="7"/>
        <v>12.574507878666445</v>
      </c>
      <c r="L28" s="4">
        <f t="shared" si="8"/>
        <v>55.830814981279019</v>
      </c>
      <c r="M28" s="4">
        <f t="shared" si="9"/>
        <v>0.47597244133898686</v>
      </c>
    </row>
    <row r="29" spans="1:13" x14ac:dyDescent="0.3">
      <c r="B29" s="2">
        <v>4</v>
      </c>
      <c r="C29" s="2">
        <f t="shared" si="2"/>
        <v>0.55711999999999984</v>
      </c>
      <c r="D29" s="2">
        <f t="shared" si="3"/>
        <v>6.6535599999999988</v>
      </c>
      <c r="E29" s="5">
        <f t="shared" si="0"/>
        <v>107.64592414719993</v>
      </c>
      <c r="F29" s="5">
        <f t="shared" si="4"/>
        <v>109.91744128067079</v>
      </c>
      <c r="G29" s="35">
        <f t="shared" si="5"/>
        <v>1.0820070059296678</v>
      </c>
      <c r="H29" s="4">
        <f t="shared" si="1"/>
        <v>0.1900996643970104</v>
      </c>
      <c r="I29" s="4">
        <f t="shared" si="6"/>
        <v>3.7559245686455252E-2</v>
      </c>
      <c r="J29" s="4">
        <f t="shared" si="10"/>
        <v>0.15203419393093098</v>
      </c>
      <c r="K29" s="4">
        <f t="shared" si="7"/>
        <v>13.12891616370174</v>
      </c>
      <c r="L29" s="4">
        <f t="shared" si="8"/>
        <v>58.292387766835731</v>
      </c>
      <c r="M29" s="4">
        <f t="shared" si="9"/>
        <v>0.49311218778934723</v>
      </c>
    </row>
    <row r="30" spans="1:13" x14ac:dyDescent="0.3">
      <c r="B30" s="2">
        <v>5</v>
      </c>
      <c r="C30" s="2">
        <f t="shared" si="2"/>
        <v>0.5713999999999998</v>
      </c>
      <c r="D30" s="2">
        <f t="shared" si="3"/>
        <v>6.6606999999999985</v>
      </c>
      <c r="E30" s="5">
        <f t="shared" si="0"/>
        <v>110.57915647999992</v>
      </c>
      <c r="F30" s="5">
        <f t="shared" si="4"/>
        <v>113.77201067797643</v>
      </c>
      <c r="G30" s="35">
        <f t="shared" si="5"/>
        <v>1.0901496475508279</v>
      </c>
      <c r="H30" s="4">
        <f t="shared" si="1"/>
        <v>0.19154661928906774</v>
      </c>
      <c r="I30" s="4">
        <f t="shared" si="6"/>
        <v>3.7275520844483573E-2</v>
      </c>
      <c r="J30" s="4">
        <f t="shared" si="10"/>
        <v>0.18930971477541456</v>
      </c>
      <c r="K30" s="4">
        <f t="shared" si="7"/>
        <v>13.691585547178573</v>
      </c>
      <c r="L30" s="4">
        <f t="shared" si="8"/>
        <v>60.790639829472866</v>
      </c>
      <c r="M30" s="4">
        <f t="shared" si="9"/>
        <v>0.51036098245788486</v>
      </c>
    </row>
    <row r="31" spans="1:13" x14ac:dyDescent="0.3">
      <c r="B31" s="2">
        <v>6</v>
      </c>
      <c r="C31" s="2">
        <f t="shared" si="2"/>
        <v>0.58567999999999976</v>
      </c>
      <c r="D31" s="2">
        <f t="shared" si="3"/>
        <v>6.6678399999999982</v>
      </c>
      <c r="E31" s="5">
        <f t="shared" si="0"/>
        <v>113.52108933119992</v>
      </c>
      <c r="F31" s="5">
        <f t="shared" si="4"/>
        <v>117.66709172052151</v>
      </c>
      <c r="G31" s="35">
        <f t="shared" si="5"/>
        <v>1.0980118081400621</v>
      </c>
      <c r="H31" s="4">
        <f t="shared" si="1"/>
        <v>0.19297044583373607</v>
      </c>
      <c r="I31" s="4">
        <f t="shared" si="6"/>
        <v>3.7000484551669897E-2</v>
      </c>
      <c r="J31" s="4">
        <f t="shared" si="10"/>
        <v>0.22631019932708446</v>
      </c>
      <c r="K31" s="4">
        <f t="shared" si="7"/>
        <v>14.262452869053714</v>
      </c>
      <c r="L31" s="4">
        <f t="shared" si="8"/>
        <v>63.325290738598497</v>
      </c>
      <c r="M31" s="4">
        <f t="shared" si="9"/>
        <v>0.52771766705034195</v>
      </c>
    </row>
    <row r="32" spans="1:13" x14ac:dyDescent="0.3">
      <c r="B32" s="2">
        <v>7</v>
      </c>
      <c r="C32" s="2">
        <f t="shared" si="2"/>
        <v>0.59995999999999972</v>
      </c>
      <c r="D32" s="2">
        <f t="shared" si="3"/>
        <v>6.6749799999999979</v>
      </c>
      <c r="E32" s="5">
        <f t="shared" si="0"/>
        <v>116.4717227007999</v>
      </c>
      <c r="F32" s="5">
        <f t="shared" si="4"/>
        <v>121.60239645451921</v>
      </c>
      <c r="G32" s="35">
        <f t="shared" si="5"/>
        <v>1.1056107299535982</v>
      </c>
      <c r="H32" s="4">
        <f t="shared" si="1"/>
        <v>0.19437211725751036</v>
      </c>
      <c r="I32" s="4">
        <f t="shared" si="6"/>
        <v>3.673366376176633E-2</v>
      </c>
      <c r="J32" s="4">
        <f t="shared" si="10"/>
        <v>0.2630438630888508</v>
      </c>
      <c r="K32" s="4">
        <f t="shared" si="7"/>
        <v>14.841458118552298</v>
      </c>
      <c r="L32" s="4">
        <f t="shared" si="8"/>
        <v>65.896074046372206</v>
      </c>
      <c r="M32" s="4">
        <f t="shared" si="9"/>
        <v>0.54518113226123721</v>
      </c>
    </row>
    <row r="33" spans="2:13" x14ac:dyDescent="0.3">
      <c r="B33" s="2">
        <v>8</v>
      </c>
      <c r="C33" s="2">
        <f t="shared" si="2"/>
        <v>0.61423999999999968</v>
      </c>
      <c r="D33" s="2">
        <f t="shared" si="3"/>
        <v>6.6821199999999976</v>
      </c>
      <c r="E33" s="5">
        <f t="shared" si="0"/>
        <v>119.4310565887999</v>
      </c>
      <c r="F33" s="5">
        <f t="shared" si="4"/>
        <v>125.57765204116093</v>
      </c>
      <c r="G33" s="35">
        <f t="shared" si="5"/>
        <v>1.1129621619799694</v>
      </c>
      <c r="H33" s="4">
        <f t="shared" si="1"/>
        <v>0.19575254399698291</v>
      </c>
      <c r="I33" s="4">
        <f t="shared" si="6"/>
        <v>3.6474621755669498E-2</v>
      </c>
      <c r="J33" s="4">
        <f t="shared" si="10"/>
        <v>0.29951848484452032</v>
      </c>
      <c r="K33" s="4">
        <f t="shared" si="7"/>
        <v>15.428544252609031</v>
      </c>
      <c r="L33" s="4">
        <f t="shared" si="8"/>
        <v>68.502736481584108</v>
      </c>
      <c r="M33" s="4">
        <f t="shared" si="9"/>
        <v>0.56275031585452295</v>
      </c>
    </row>
    <row r="34" spans="2:13" x14ac:dyDescent="0.3">
      <c r="B34" s="2">
        <v>9</v>
      </c>
      <c r="C34" s="2">
        <f t="shared" si="2"/>
        <v>0.62851999999999963</v>
      </c>
      <c r="D34" s="2">
        <f t="shared" si="3"/>
        <v>6.6892599999999973</v>
      </c>
      <c r="E34" s="5">
        <f t="shared" si="0"/>
        <v>122.39909099519987</v>
      </c>
      <c r="F34" s="5">
        <f t="shared" si="4"/>
        <v>129.59259975508942</v>
      </c>
      <c r="G34" s="35">
        <f t="shared" si="5"/>
        <v>1.1200805248955883</v>
      </c>
      <c r="H34" s="4">
        <f t="shared" si="1"/>
        <v>0.19711257909661148</v>
      </c>
      <c r="I34" s="4">
        <f t="shared" si="6"/>
        <v>3.622295458120129E-2</v>
      </c>
      <c r="J34" s="4">
        <f t="shared" si="10"/>
        <v>0.3357414394257216</v>
      </c>
      <c r="K34" s="4">
        <f t="shared" si="7"/>
        <v>16.023657025922006</v>
      </c>
      <c r="L34" s="4">
        <f t="shared" si="8"/>
        <v>71.145037195093707</v>
      </c>
      <c r="M34" s="4">
        <f t="shared" si="9"/>
        <v>0.58042420067471978</v>
      </c>
    </row>
    <row r="35" spans="2:13" x14ac:dyDescent="0.3">
      <c r="B35" s="2">
        <v>10</v>
      </c>
      <c r="C35" s="2">
        <f t="shared" si="2"/>
        <v>0.64279999999999959</v>
      </c>
      <c r="D35" s="2">
        <f t="shared" si="3"/>
        <v>6.696399999999997</v>
      </c>
      <c r="E35" s="5">
        <f t="shared" si="0"/>
        <v>125.37582591999985</v>
      </c>
      <c r="F35" s="5">
        <f t="shared" si="4"/>
        <v>133.64699406950672</v>
      </c>
      <c r="G35" s="35">
        <f t="shared" si="5"/>
        <v>1.1269790540385243</v>
      </c>
      <c r="H35" s="4">
        <f t="shared" si="1"/>
        <v>0.19845302303155141</v>
      </c>
      <c r="I35" s="4">
        <f t="shared" si="6"/>
        <v>3.5978287913834589E-2</v>
      </c>
      <c r="J35" s="4">
        <f t="shared" si="10"/>
        <v>0.37171972733955616</v>
      </c>
      <c r="K35" s="4">
        <f t="shared" si="7"/>
        <v>16.626744832072891</v>
      </c>
      <c r="L35" s="4">
        <f t="shared" si="8"/>
        <v>73.822747054403649</v>
      </c>
      <c r="M35" s="4">
        <f t="shared" si="9"/>
        <v>0.59820181263817984</v>
      </c>
    </row>
    <row r="36" spans="2:13" x14ac:dyDescent="0.3">
      <c r="B36" s="2">
        <v>11</v>
      </c>
      <c r="C36" s="2">
        <f t="shared" si="2"/>
        <v>0.65707999999999955</v>
      </c>
      <c r="D36" s="2">
        <f t="shared" si="3"/>
        <v>6.7035399999999967</v>
      </c>
      <c r="E36" s="5">
        <f t="shared" si="0"/>
        <v>128.36126136319984</v>
      </c>
      <c r="F36" s="5">
        <f t="shared" si="4"/>
        <v>137.74060181869322</v>
      </c>
      <c r="G36" s="35">
        <f t="shared" si="5"/>
        <v>1.1336699238093433</v>
      </c>
      <c r="H36" s="4">
        <f t="shared" si="1"/>
        <v>0.19977462802809751</v>
      </c>
      <c r="I36" s="4">
        <f t="shared" si="6"/>
        <v>3.5740274280454627E-2</v>
      </c>
      <c r="J36" s="4">
        <f t="shared" si="10"/>
        <v>0.40746000162001078</v>
      </c>
      <c r="K36" s="4">
        <f t="shared" si="7"/>
        <v>17.237758555105604</v>
      </c>
      <c r="L36" s="4">
        <f t="shared" si="8"/>
        <v>76.535647984668884</v>
      </c>
      <c r="M36" s="4">
        <f t="shared" si="9"/>
        <v>0.61608221873972757</v>
      </c>
    </row>
    <row r="37" spans="2:13" x14ac:dyDescent="0.3">
      <c r="B37" s="2">
        <v>12</v>
      </c>
      <c r="C37" s="2">
        <f t="shared" si="2"/>
        <v>0.67135999999999951</v>
      </c>
      <c r="D37" s="2">
        <f t="shared" si="3"/>
        <v>6.7106799999999964</v>
      </c>
      <c r="E37" s="5">
        <f t="shared" si="0"/>
        <v>131.35539732479984</v>
      </c>
      <c r="F37" s="5">
        <f t="shared" si="4"/>
        <v>141.87320142988122</v>
      </c>
      <c r="G37" s="35">
        <f t="shared" si="5"/>
        <v>1.1401643563079888</v>
      </c>
      <c r="H37" s="4">
        <f t="shared" si="1"/>
        <v>0.20107810194376566</v>
      </c>
      <c r="I37" s="4">
        <f t="shared" si="6"/>
        <v>3.5508590597283465E-2</v>
      </c>
      <c r="J37" s="4">
        <f t="shared" si="10"/>
        <v>0.44296859221729423</v>
      </c>
      <c r="K37" s="4">
        <f t="shared" si="7"/>
        <v>17.856651430931979</v>
      </c>
      <c r="L37" s="4">
        <f t="shared" si="8"/>
        <v>79.283532353337989</v>
      </c>
      <c r="M37" s="4">
        <f t="shared" si="9"/>
        <v>0.63406452509935962</v>
      </c>
    </row>
    <row r="38" spans="2:13" x14ac:dyDescent="0.3">
      <c r="B38" s="2">
        <v>13</v>
      </c>
      <c r="C38" s="2">
        <f t="shared" si="2"/>
        <v>0.68563999999999947</v>
      </c>
      <c r="D38" s="2">
        <f t="shared" si="3"/>
        <v>6.7178199999999961</v>
      </c>
      <c r="E38" s="5">
        <f t="shared" si="0"/>
        <v>134.35823380479982</v>
      </c>
      <c r="F38" s="5">
        <f t="shared" si="4"/>
        <v>146.04458221740973</v>
      </c>
      <c r="G38" s="35">
        <f t="shared" si="5"/>
        <v>1.1464727165333535</v>
      </c>
      <c r="H38" s="4">
        <f t="shared" si="1"/>
        <v>0.20236411176023397</v>
      </c>
      <c r="I38" s="4">
        <f t="shared" si="6"/>
        <v>3.5282935980563854E-2</v>
      </c>
      <c r="J38" s="4">
        <f t="shared" si="10"/>
        <v>0.4782515281978581</v>
      </c>
      <c r="K38" s="4">
        <f t="shared" si="7"/>
        <v>18.483378917930349</v>
      </c>
      <c r="L38" s="4">
        <f t="shared" si="8"/>
        <v>82.066202395610759</v>
      </c>
      <c r="M38" s="4">
        <f t="shared" si="9"/>
        <v>0.65214787506584004</v>
      </c>
    </row>
    <row r="39" spans="2:13" x14ac:dyDescent="0.3">
      <c r="B39" s="2">
        <v>14</v>
      </c>
      <c r="C39" s="2">
        <f t="shared" si="2"/>
        <v>0.69991999999999943</v>
      </c>
      <c r="D39" s="2">
        <f t="shared" si="3"/>
        <v>6.7249599999999958</v>
      </c>
      <c r="E39" s="5">
        <f t="shared" si="0"/>
        <v>137.3697708031998</v>
      </c>
      <c r="F39" s="5">
        <f t="shared" si="4"/>
        <v>150.2545437329446</v>
      </c>
      <c r="G39" s="35">
        <f t="shared" si="5"/>
        <v>1.152604596082184</v>
      </c>
      <c r="H39" s="4">
        <f t="shared" si="1"/>
        <v>0.20363328673496808</v>
      </c>
      <c r="I39" s="4">
        <f t="shared" si="6"/>
        <v>3.5063029794793941E-2</v>
      </c>
      <c r="J39" s="4">
        <f t="shared" si="10"/>
        <v>0.51331455799265202</v>
      </c>
      <c r="K39" s="4">
        <f t="shared" si="7"/>
        <v>19.117898576117778</v>
      </c>
      <c r="L39" s="4">
        <f t="shared" si="8"/>
        <v>84.883469677962935</v>
      </c>
      <c r="M39" s="4">
        <f t="shared" si="9"/>
        <v>0.67033144738826633</v>
      </c>
    </row>
    <row r="40" spans="2:13" x14ac:dyDescent="0.3">
      <c r="B40" s="2">
        <v>15</v>
      </c>
      <c r="C40" s="2">
        <f t="shared" si="2"/>
        <v>0.71419999999999939</v>
      </c>
      <c r="D40" s="2">
        <f t="shared" si="3"/>
        <v>6.7320999999999955</v>
      </c>
      <c r="E40" s="5">
        <f t="shared" si="0"/>
        <v>140.39000831999979</v>
      </c>
      <c r="F40" s="5">
        <f t="shared" si="4"/>
        <v>154.50289516628101</v>
      </c>
      <c r="G40" s="35">
        <f t="shared" si="5"/>
        <v>1.1585688869668211</v>
      </c>
      <c r="H40" s="4">
        <f t="shared" si="1"/>
        <v>0.20488622125111097</v>
      </c>
      <c r="I40" s="4">
        <f t="shared" si="6"/>
        <v>3.4848609908467859E-2</v>
      </c>
      <c r="J40" s="4">
        <f t="shared" si="10"/>
        <v>0.54816316790111985</v>
      </c>
      <c r="K40" s="4">
        <f t="shared" si="7"/>
        <v>19.760169954300533</v>
      </c>
      <c r="L40" s="4">
        <f t="shared" si="8"/>
        <v>87.735154597094379</v>
      </c>
      <c r="M40" s="4">
        <f t="shared" si="9"/>
        <v>0.6886144544624464</v>
      </c>
    </row>
    <row r="41" spans="2:13" x14ac:dyDescent="0.3">
      <c r="B41" s="2">
        <v>16</v>
      </c>
      <c r="C41" s="2">
        <f t="shared" si="2"/>
        <v>0.72847999999999935</v>
      </c>
      <c r="D41" s="2">
        <f t="shared" si="3"/>
        <v>6.7392399999999952</v>
      </c>
      <c r="E41" s="5">
        <f t="shared" si="0"/>
        <v>143.41894635519975</v>
      </c>
      <c r="F41" s="5">
        <f t="shared" si="4"/>
        <v>158.78945479187436</v>
      </c>
      <c r="G41" s="35">
        <f t="shared" si="5"/>
        <v>1.1643738469120559</v>
      </c>
      <c r="H41" s="4">
        <f t="shared" si="1"/>
        <v>0.20612347739993453</v>
      </c>
      <c r="I41" s="4">
        <f t="shared" si="6"/>
        <v>3.4639431131595455E-2</v>
      </c>
      <c r="J41" s="4">
        <f t="shared" si="10"/>
        <v>0.58280259903271525</v>
      </c>
      <c r="K41" s="4">
        <f t="shared" si="7"/>
        <v>20.410154484636088</v>
      </c>
      <c r="L41" s="4">
        <f t="shared" si="8"/>
        <v>90.621085911784235</v>
      </c>
      <c r="M41" s="4">
        <f t="shared" si="9"/>
        <v>0.70699614065577587</v>
      </c>
    </row>
    <row r="42" spans="2:13" x14ac:dyDescent="0.3">
      <c r="B42" s="2">
        <v>17</v>
      </c>
      <c r="C42" s="2">
        <f t="shared" si="2"/>
        <v>0.74275999999999931</v>
      </c>
      <c r="D42" s="2">
        <f t="shared" si="3"/>
        <v>6.7463799999999949</v>
      </c>
      <c r="E42" s="5">
        <f t="shared" si="0"/>
        <v>146.45658490879973</v>
      </c>
      <c r="F42" s="5">
        <f t="shared" si="4"/>
        <v>163.11404945680604</v>
      </c>
      <c r="G42" s="35">
        <f t="shared" si="5"/>
        <v>1.1700271572784724</v>
      </c>
      <c r="H42" s="4">
        <f t="shared" si="1"/>
        <v>0.20734558732566025</v>
      </c>
      <c r="I42" s="4">
        <f t="shared" si="6"/>
        <v>3.4435263812900956E-2</v>
      </c>
      <c r="J42" s="4">
        <f t="shared" si="10"/>
        <v>0.61723786284561621</v>
      </c>
      <c r="K42" s="4">
        <f t="shared" si="7"/>
        <v>21.067815384074482</v>
      </c>
      <c r="L42" s="4">
        <f t="shared" si="8"/>
        <v>93.541100305290712</v>
      </c>
      <c r="M42" s="4">
        <f t="shared" si="9"/>
        <v>0.72547578071209806</v>
      </c>
    </row>
    <row r="43" spans="2:13" x14ac:dyDescent="0.3">
      <c r="B43" s="2">
        <v>18</v>
      </c>
      <c r="C43" s="2">
        <f t="shared" si="2"/>
        <v>0.75703999999999927</v>
      </c>
      <c r="D43" s="2">
        <f t="shared" si="3"/>
        <v>6.7535199999999946</v>
      </c>
      <c r="E43" s="5">
        <f t="shared" si="0"/>
        <v>149.50292398079972</v>
      </c>
      <c r="F43" s="5">
        <f t="shared" si="4"/>
        <v>167.4765141063553</v>
      </c>
      <c r="G43" s="35">
        <f t="shared" si="5"/>
        <v>1.1755359745838934</v>
      </c>
      <c r="H43" s="4">
        <f t="shared" si="1"/>
        <v>0.20855305535862778</v>
      </c>
      <c r="I43" s="4">
        <f t="shared" si="6"/>
        <v>3.4235892577656378E-2</v>
      </c>
      <c r="J43" s="4">
        <f t="shared" si="10"/>
        <v>0.65147375542327257</v>
      </c>
      <c r="K43" s="4">
        <f t="shared" si="7"/>
        <v>21.73311756217872</v>
      </c>
      <c r="L43" s="4">
        <f t="shared" si="8"/>
        <v>96.495041976073523</v>
      </c>
      <c r="M43" s="4">
        <f t="shared" si="9"/>
        <v>0.74405267823632792</v>
      </c>
    </row>
    <row r="44" spans="2:13" x14ac:dyDescent="0.3">
      <c r="B44" s="2">
        <v>19</v>
      </c>
      <c r="C44" s="2">
        <f t="shared" si="2"/>
        <v>0.77131999999999923</v>
      </c>
      <c r="D44" s="2">
        <f t="shared" si="3"/>
        <v>6.7606599999999943</v>
      </c>
      <c r="E44" s="5">
        <f t="shared" si="0"/>
        <v>152.55796357119971</v>
      </c>
      <c r="F44" s="5">
        <f t="shared" si="4"/>
        <v>171.87669134377975</v>
      </c>
      <c r="G44" s="35">
        <f t="shared" si="5"/>
        <v>1.1809069764488866</v>
      </c>
      <c r="H44" s="4">
        <f t="shared" si="1"/>
        <v>0.20974635995951976</v>
      </c>
      <c r="I44" s="4">
        <f t="shared" si="6"/>
        <v>3.4041115189689095E-2</v>
      </c>
      <c r="J44" s="4">
        <f t="shared" si="10"/>
        <v>0.68551487061296168</v>
      </c>
      <c r="K44" s="4">
        <f t="shared" si="7"/>
        <v>22.406027534860058</v>
      </c>
      <c r="L44" s="4">
        <f t="shared" si="8"/>
        <v>99.482762254778663</v>
      </c>
      <c r="M44" s="4">
        <f t="shared" si="9"/>
        <v>0.76272616425751683</v>
      </c>
    </row>
    <row r="45" spans="2:13" x14ac:dyDescent="0.3">
      <c r="B45" s="2">
        <v>20</v>
      </c>
      <c r="C45" s="2">
        <f t="shared" si="2"/>
        <v>0.78559999999999919</v>
      </c>
      <c r="D45" s="2">
        <f t="shared" si="3"/>
        <v>6.767799999999994</v>
      </c>
      <c r="E45" s="5">
        <f t="shared" si="0"/>
        <v>155.62170367999971</v>
      </c>
      <c r="F45" s="5">
        <f t="shared" si="4"/>
        <v>176.31443102126056</v>
      </c>
      <c r="G45" s="35">
        <f t="shared" si="5"/>
        <v>1.1861464026709865</v>
      </c>
      <c r="H45" s="4">
        <f t="shared" si="1"/>
        <v>0.21092595549453774</v>
      </c>
      <c r="I45" s="4">
        <f t="shared" si="6"/>
        <v>3.3850741523296812E-2</v>
      </c>
      <c r="J45" s="4">
        <f t="shared" si="10"/>
        <v>0.71936561213625849</v>
      </c>
      <c r="K45" s="4">
        <f t="shared" si="7"/>
        <v>23.086513343595552</v>
      </c>
      <c r="L45" s="4">
        <f t="shared" si="8"/>
        <v>102.50411924556425</v>
      </c>
      <c r="M45" s="4">
        <f t="shared" si="9"/>
        <v>0.78149559586819584</v>
      </c>
    </row>
    <row r="46" spans="2:13" x14ac:dyDescent="0.3">
      <c r="B46" s="2">
        <v>21</v>
      </c>
      <c r="C46" s="2">
        <f t="shared" si="2"/>
        <v>0.79987999999999915</v>
      </c>
      <c r="D46" s="2">
        <f t="shared" si="3"/>
        <v>6.7749399999999937</v>
      </c>
      <c r="E46" s="5">
        <f t="shared" si="0"/>
        <v>158.69414430719971</v>
      </c>
      <c r="F46" s="5">
        <f t="shared" si="4"/>
        <v>180.78958985929313</v>
      </c>
      <c r="G46" s="35">
        <f t="shared" si="5"/>
        <v>1.1912600920309067</v>
      </c>
      <c r="H46" s="4">
        <f t="shared" si="1"/>
        <v>0.21209227385901275</v>
      </c>
      <c r="I46" s="4">
        <f t="shared" si="6"/>
        <v>3.3664592632668376E-2</v>
      </c>
      <c r="J46" s="4">
        <f t="shared" si="10"/>
        <v>0.7530302047689269</v>
      </c>
      <c r="K46" s="4">
        <f t="shared" si="7"/>
        <v>23.774544479727979</v>
      </c>
      <c r="L46" s="4">
        <f t="shared" si="8"/>
        <v>105.55897748999223</v>
      </c>
      <c r="M46" s="4">
        <f t="shared" si="9"/>
        <v>0.80036035493729718</v>
      </c>
    </row>
    <row r="47" spans="2:13" x14ac:dyDescent="0.3">
      <c r="B47" s="2">
        <v>22</v>
      </c>
      <c r="C47" s="2">
        <f t="shared" si="2"/>
        <v>0.81415999999999911</v>
      </c>
      <c r="D47" s="2">
        <f t="shared" si="3"/>
        <v>6.7820799999999934</v>
      </c>
      <c r="E47" s="5">
        <f t="shared" si="0"/>
        <v>161.77528545279966</v>
      </c>
      <c r="F47" s="5">
        <f t="shared" si="4"/>
        <v>185.30203109208736</v>
      </c>
      <c r="G47" s="35">
        <f t="shared" si="5"/>
        <v>1.1962535153489244</v>
      </c>
      <c r="H47" s="4">
        <f t="shared" si="1"/>
        <v>0.21324572596484478</v>
      </c>
      <c r="I47" s="4">
        <f t="shared" si="6"/>
        <v>3.3482499908003262E-2</v>
      </c>
      <c r="J47" s="4">
        <f t="shared" si="10"/>
        <v>0.78651270467693013</v>
      </c>
      <c r="K47" s="4">
        <f t="shared" si="7"/>
        <v>24.470091813478511</v>
      </c>
      <c r="L47" s="4">
        <f t="shared" si="8"/>
        <v>108.6472076518446</v>
      </c>
      <c r="M47" s="4">
        <f t="shared" si="9"/>
        <v>0.81931984689362558</v>
      </c>
    </row>
    <row r="48" spans="2:13" x14ac:dyDescent="0.3">
      <c r="B48" s="2">
        <v>23</v>
      </c>
      <c r="C48" s="2">
        <f t="shared" si="2"/>
        <v>0.82843999999999907</v>
      </c>
      <c r="D48" s="2">
        <f t="shared" si="3"/>
        <v>6.7892199999999931</v>
      </c>
      <c r="E48" s="5">
        <f t="shared" si="0"/>
        <v>164.86512711679964</v>
      </c>
      <c r="F48" s="5">
        <f t="shared" si="4"/>
        <v>189.85162413678225</v>
      </c>
      <c r="G48" s="35">
        <f t="shared" si="5"/>
        <v>1.2011318052379467</v>
      </c>
      <c r="H48" s="4">
        <f t="shared" si="1"/>
        <v>0.21438670310536226</v>
      </c>
      <c r="I48" s="4">
        <f t="shared" si="6"/>
        <v>3.3304304308887048E-2</v>
      </c>
      <c r="J48" s="4">
        <f t="shared" si="10"/>
        <v>0.81981700898581722</v>
      </c>
      <c r="K48" s="4">
        <f t="shared" si="7"/>
        <v>25.173127527330092</v>
      </c>
      <c r="L48" s="4">
        <f t="shared" si="8"/>
        <v>111.76868622134562</v>
      </c>
      <c r="M48" s="4">
        <f t="shared" si="9"/>
        <v>0.83837349957662277</v>
      </c>
    </row>
    <row r="49" spans="2:13" x14ac:dyDescent="0.3">
      <c r="B49" s="2">
        <v>24</v>
      </c>
      <c r="C49" s="2">
        <f t="shared" si="2"/>
        <v>0.84271999999999903</v>
      </c>
      <c r="D49" s="2">
        <f t="shared" si="3"/>
        <v>6.7963599999999929</v>
      </c>
      <c r="E49" s="5">
        <f t="shared" si="0"/>
        <v>167.96366929919958</v>
      </c>
      <c r="F49" s="5">
        <f t="shared" si="4"/>
        <v>194.43824428450634</v>
      </c>
      <c r="G49" s="35">
        <f t="shared" si="5"/>
        <v>1.2058997829391853</v>
      </c>
      <c r="H49" s="4">
        <f t="shared" si="1"/>
        <v>0.21551557820962725</v>
      </c>
      <c r="I49" s="4">
        <f t="shared" si="6"/>
        <v>3.3129855666652011E-2</v>
      </c>
      <c r="J49" s="4">
        <f t="shared" si="10"/>
        <v>0.85294686465246927</v>
      </c>
      <c r="K49" s="4">
        <f t="shared" si="7"/>
        <v>25.883625053467064</v>
      </c>
      <c r="L49" s="4">
        <f t="shared" si="8"/>
        <v>114.92329523739377</v>
      </c>
      <c r="M49" s="4">
        <f t="shared" si="9"/>
        <v>0.85752076215110173</v>
      </c>
    </row>
    <row r="50" spans="2:13" x14ac:dyDescent="0.3">
      <c r="B50" s="2">
        <v>25</v>
      </c>
      <c r="C50" s="2">
        <f t="shared" si="2"/>
        <v>0.85699999999999898</v>
      </c>
      <c r="D50" s="2">
        <f t="shared" si="3"/>
        <v>6.8034999999999926</v>
      </c>
      <c r="E50" s="5">
        <f t="shared" si="0"/>
        <v>171.07091199999962</v>
      </c>
      <c r="F50" s="5">
        <f t="shared" si="4"/>
        <v>199.06177241150303</v>
      </c>
      <c r="G50" s="35">
        <f t="shared" si="5"/>
        <v>1.2105619825749652</v>
      </c>
      <c r="H50" s="4">
        <f t="shared" si="1"/>
        <v>0.21663270699684811</v>
      </c>
      <c r="I50" s="4">
        <f t="shared" si="6"/>
        <v>3.2959012048461765E-2</v>
      </c>
      <c r="J50" s="4">
        <f t="shared" si="10"/>
        <v>0.88590587670093102</v>
      </c>
      <c r="K50" s="4">
        <f t="shared" si="7"/>
        <v>26.601559014980271</v>
      </c>
      <c r="L50" s="4">
        <f t="shared" si="8"/>
        <v>118.11092202651241</v>
      </c>
      <c r="M50" s="4">
        <f t="shared" si="9"/>
        <v>0.87676110408260144</v>
      </c>
    </row>
    <row r="51" spans="2:13" x14ac:dyDescent="0.3">
      <c r="B51" s="2">
        <v>26</v>
      </c>
      <c r="C51" s="2">
        <f t="shared" si="2"/>
        <v>0.87127999999999894</v>
      </c>
      <c r="D51" s="2">
        <f t="shared" si="3"/>
        <v>6.8106399999999923</v>
      </c>
      <c r="E51" s="5">
        <f t="shared" si="0"/>
        <v>174.18685521919957</v>
      </c>
      <c r="F51" s="5">
        <f t="shared" si="4"/>
        <v>203.72209470871229</v>
      </c>
      <c r="G51" s="35">
        <f t="shared" si="5"/>
        <v>1.215122673109462</v>
      </c>
      <c r="H51" s="4">
        <f t="shared" si="1"/>
        <v>0.21773842904037513</v>
      </c>
      <c r="I51" s="4">
        <f t="shared" si="6"/>
        <v>3.2791639176729968E-2</v>
      </c>
      <c r="J51" s="4">
        <f t="shared" si="10"/>
        <v>0.91869751587766102</v>
      </c>
      <c r="K51" s="4">
        <f t="shared" si="7"/>
        <v>27.326905170569852</v>
      </c>
      <c r="L51" s="4">
        <f t="shared" si="8"/>
        <v>121.33145895733016</v>
      </c>
      <c r="M51" s="4">
        <f t="shared" si="9"/>
        <v>0.89609401417004308</v>
      </c>
    </row>
    <row r="52" spans="2:13" x14ac:dyDescent="0.3">
      <c r="B52" s="2">
        <v>27</v>
      </c>
      <c r="C52" s="2">
        <f t="shared" si="2"/>
        <v>0.8855599999999989</v>
      </c>
      <c r="D52" s="2">
        <f t="shared" si="3"/>
        <v>6.817779999999992</v>
      </c>
      <c r="E52" s="5">
        <f t="shared" si="0"/>
        <v>177.31149895679954</v>
      </c>
      <c r="F52" s="5">
        <f t="shared" si="4"/>
        <v>208.41910242836141</v>
      </c>
      <c r="G52" s="35">
        <f t="shared" si="5"/>
        <v>1.2195858782708273</v>
      </c>
      <c r="H52" s="4">
        <f t="shared" si="1"/>
        <v>0.21883306874971753</v>
      </c>
      <c r="I52" s="4">
        <f t="shared" si="6"/>
        <v>3.2627609898237653E-2</v>
      </c>
      <c r="J52" s="4">
        <f t="shared" si="10"/>
        <v>0.95132512577589867</v>
      </c>
      <c r="K52" s="4">
        <f t="shared" si="7"/>
        <v>28.059640362500048</v>
      </c>
      <c r="L52" s="4">
        <f t="shared" si="8"/>
        <v>124.58480320950022</v>
      </c>
      <c r="M52" s="4">
        <f t="shared" si="9"/>
        <v>0.91551899963249528</v>
      </c>
    </row>
    <row r="53" spans="2:13" x14ac:dyDescent="0.3">
      <c r="B53" s="2">
        <v>28</v>
      </c>
      <c r="C53" s="2">
        <f t="shared" si="2"/>
        <v>0.89983999999999886</v>
      </c>
      <c r="D53" s="2">
        <f t="shared" si="3"/>
        <v>6.8249199999999917</v>
      </c>
      <c r="E53" s="5">
        <f t="shared" si="0"/>
        <v>180.44484321279958</v>
      </c>
      <c r="F53" s="5">
        <f t="shared" si="4"/>
        <v>213.15269164623373</v>
      </c>
      <c r="G53" s="35">
        <f t="shared" si="5"/>
        <v>1.2239553946561794</v>
      </c>
      <c r="H53" s="4">
        <f t="shared" si="1"/>
        <v>0.21991693627810535</v>
      </c>
      <c r="I53" s="4">
        <f t="shared" si="6"/>
        <v>3.2466803697969004E-2</v>
      </c>
      <c r="J53" s="4">
        <f t="shared" si="10"/>
        <v>0.98379192947386773</v>
      </c>
      <c r="K53" s="4">
        <f t="shared" si="7"/>
        <v>28.79974246757709</v>
      </c>
      <c r="L53" s="4">
        <f t="shared" si="8"/>
        <v>127.8708565560423</v>
      </c>
      <c r="M53" s="4">
        <f t="shared" si="9"/>
        <v>0.9350355852468869</v>
      </c>
    </row>
    <row r="54" spans="2:13" x14ac:dyDescent="0.3">
      <c r="B54" s="2">
        <v>29</v>
      </c>
      <c r="C54" s="2">
        <f t="shared" si="2"/>
        <v>0.91411999999999882</v>
      </c>
      <c r="D54" s="2">
        <f t="shared" si="3"/>
        <v>6.8320599999999914</v>
      </c>
      <c r="E54" s="5">
        <f t="shared" si="0"/>
        <v>183.58688798719953</v>
      </c>
      <c r="F54" s="5">
        <f t="shared" si="4"/>
        <v>217.92276303843147</v>
      </c>
      <c r="G54" s="35">
        <f t="shared" si="5"/>
        <v>1.2282348082134926</v>
      </c>
      <c r="H54" s="4">
        <f t="shared" si="1"/>
        <v>0.2209903283623279</v>
      </c>
      <c r="I54" s="4">
        <f t="shared" si="6"/>
        <v>3.2309106253254276E-2</v>
      </c>
      <c r="J54" s="4">
        <f t="shared" si="10"/>
        <v>1.0161010357271221</v>
      </c>
      <c r="K54" s="4">
        <f t="shared" si="7"/>
        <v>29.547190350942454</v>
      </c>
      <c r="L54" s="4">
        <f t="shared" si="8"/>
        <v>131.18952515818449</v>
      </c>
      <c r="M54" s="4">
        <f t="shared" si="9"/>
        <v>0.95464331253372925</v>
      </c>
    </row>
    <row r="55" spans="2:13" x14ac:dyDescent="0.3">
      <c r="B55" s="2">
        <v>30</v>
      </c>
      <c r="C55" s="2">
        <f t="shared" si="2"/>
        <v>0.92839999999999878</v>
      </c>
      <c r="D55" s="2">
        <f t="shared" si="3"/>
        <v>6.8391999999999911</v>
      </c>
      <c r="E55" s="5">
        <f t="shared" si="0"/>
        <v>186.7376332799995</v>
      </c>
      <c r="F55" s="5">
        <f t="shared" si="4"/>
        <v>222.72922167153374</v>
      </c>
      <c r="G55" s="35">
        <f t="shared" si="5"/>
        <v>1.2324275092707668</v>
      </c>
      <c r="H55" s="4">
        <f t="shared" si="1"/>
        <v>0.22205352910087159</v>
      </c>
      <c r="I55" s="4">
        <f t="shared" si="6"/>
        <v>3.2154409024305747E-2</v>
      </c>
      <c r="J55" s="4">
        <f t="shared" si="10"/>
        <v>1.0482554447514278</v>
      </c>
      <c r="K55" s="4">
        <f t="shared" si="7"/>
        <v>30.301963822487096</v>
      </c>
      <c r="L55" s="4">
        <f t="shared" si="8"/>
        <v>134.54071937184273</v>
      </c>
      <c r="M55" s="4">
        <f t="shared" si="9"/>
        <v>0.97434173898796539</v>
      </c>
    </row>
    <row r="56" spans="2:13" x14ac:dyDescent="0.3">
      <c r="B56" s="2">
        <v>31</v>
      </c>
      <c r="C56" s="2">
        <f t="shared" si="2"/>
        <v>0.94267999999999874</v>
      </c>
      <c r="D56" s="2">
        <f t="shared" si="3"/>
        <v>6.8463399999999908</v>
      </c>
      <c r="E56" s="5">
        <f t="shared" si="0"/>
        <v>189.89707909119946</v>
      </c>
      <c r="F56" s="5">
        <f t="shared" si="4"/>
        <v>227.57197680516228</v>
      </c>
      <c r="G56" s="35">
        <f t="shared" si="5"/>
        <v>1.2365367062624379</v>
      </c>
      <c r="H56" s="4">
        <f t="shared" si="1"/>
        <v>0.22310681067576368</v>
      </c>
      <c r="I56" s="4">
        <f t="shared" si="6"/>
        <v>3.2002608877666275E-2</v>
      </c>
      <c r="J56" s="4">
        <f t="shared" si="10"/>
        <v>1.0802580536290942</v>
      </c>
      <c r="K56" s="4">
        <f t="shared" si="7"/>
        <v>31.064043595708903</v>
      </c>
      <c r="L56" s="4">
        <f t="shared" si="8"/>
        <v>137.92435356494755</v>
      </c>
      <c r="M56" s="4">
        <f t="shared" si="9"/>
        <v>0.99413043735224593</v>
      </c>
    </row>
    <row r="57" spans="2:13" x14ac:dyDescent="0.3">
      <c r="B57" s="2">
        <v>32</v>
      </c>
      <c r="C57" s="2">
        <f t="shared" si="2"/>
        <v>0.9569599999999987</v>
      </c>
      <c r="D57" s="2">
        <f t="shared" si="3"/>
        <v>6.8534799999999905</v>
      </c>
      <c r="E57" s="5">
        <f t="shared" si="0"/>
        <v>193.06522542079949</v>
      </c>
      <c r="F57" s="5">
        <f t="shared" si="4"/>
        <v>232.45094170605097</v>
      </c>
      <c r="G57" s="35">
        <f t="shared" si="5"/>
        <v>1.2405654382853264</v>
      </c>
      <c r="H57" s="4">
        <f t="shared" si="1"/>
        <v>0.22415043402297952</v>
      </c>
      <c r="I57" s="4">
        <f t="shared" si="6"/>
        <v>3.1853607739470283E-2</v>
      </c>
      <c r="J57" s="4">
        <f t="shared" si="10"/>
        <v>1.1121116613685644</v>
      </c>
      <c r="K57" s="4">
        <f t="shared" si="7"/>
        <v>31.833411248849366</v>
      </c>
      <c r="L57" s="4">
        <f t="shared" si="8"/>
        <v>141.3403459448912</v>
      </c>
      <c r="M57" s="4">
        <f t="shared" si="9"/>
        <v>1.0140089949300886</v>
      </c>
    </row>
    <row r="58" spans="2:13" x14ac:dyDescent="0.3">
      <c r="B58" s="2">
        <v>33</v>
      </c>
      <c r="C58" s="2">
        <f t="shared" si="2"/>
        <v>0.97123999999999866</v>
      </c>
      <c r="D58" s="2">
        <f t="shared" si="3"/>
        <v>6.8606199999999902</v>
      </c>
      <c r="E58" s="5">
        <f t="shared" ref="E58:E75" si="11">((3.14*(C58/2)^2)+((6.28*(C58/2))*D58))/(3.14*($C$6/2)^2)</f>
        <v>196.24207226879946</v>
      </c>
      <c r="F58" s="5">
        <f t="shared" si="4"/>
        <v>237.36603347278844</v>
      </c>
      <c r="G58" s="35">
        <f t="shared" si="5"/>
        <v>1.2445165866010637</v>
      </c>
      <c r="H58" s="4">
        <f t="shared" ref="H58:H75" si="12">$G$4*F58^$G$5</f>
        <v>0.22518464945578504</v>
      </c>
      <c r="I58" s="4">
        <f t="shared" si="6"/>
        <v>3.1707312275750577E-2</v>
      </c>
      <c r="J58" s="4">
        <f t="shared" si="10"/>
        <v>1.143818973644315</v>
      </c>
      <c r="K58" s="4">
        <f t="shared" si="7"/>
        <v>32.610049188156843</v>
      </c>
      <c r="L58" s="4">
        <f t="shared" si="8"/>
        <v>144.78861839541639</v>
      </c>
      <c r="M58" s="4">
        <f t="shared" si="9"/>
        <v>1.0339770129364756</v>
      </c>
    </row>
    <row r="59" spans="2:13" x14ac:dyDescent="0.3">
      <c r="B59" s="2">
        <v>34</v>
      </c>
      <c r="C59" s="2">
        <f t="shared" si="2"/>
        <v>0.98551999999999862</v>
      </c>
      <c r="D59" s="2">
        <f t="shared" si="3"/>
        <v>6.8677599999999899</v>
      </c>
      <c r="E59" s="5">
        <f t="shared" si="11"/>
        <v>199.42761963519939</v>
      </c>
      <c r="F59" s="5">
        <f t="shared" si="4"/>
        <v>242.31717287048104</v>
      </c>
      <c r="G59" s="35">
        <f t="shared" si="5"/>
        <v>1.2483928851886001</v>
      </c>
      <c r="H59" s="4">
        <f t="shared" si="12"/>
        <v>0.22620969724495679</v>
      </c>
      <c r="I59" s="4">
        <f t="shared" si="6"/>
        <v>3.1563633597317793E-2</v>
      </c>
      <c r="J59" s="4">
        <f t="shared" si="10"/>
        <v>1.1753826072416327</v>
      </c>
      <c r="K59" s="4">
        <f t="shared" si="7"/>
        <v>33.39394061313682</v>
      </c>
      <c r="L59" s="4">
        <f t="shared" si="8"/>
        <v>148.2690963223275</v>
      </c>
      <c r="M59" s="4">
        <f t="shared" si="9"/>
        <v>1.0540341058836404</v>
      </c>
    </row>
    <row r="60" spans="2:13" x14ac:dyDescent="0.3">
      <c r="B60" s="2">
        <v>35</v>
      </c>
      <c r="C60" s="2">
        <f t="shared" si="2"/>
        <v>0.99979999999999858</v>
      </c>
      <c r="D60" s="2">
        <f t="shared" si="3"/>
        <v>6.8748999999999896</v>
      </c>
      <c r="E60" s="5">
        <f t="shared" si="11"/>
        <v>202.6218675199994</v>
      </c>
      <c r="F60" s="5">
        <f t="shared" si="4"/>
        <v>247.30428417464657</v>
      </c>
      <c r="G60" s="35">
        <f t="shared" si="5"/>
        <v>1.2521969304387559</v>
      </c>
      <c r="H60" s="4">
        <f t="shared" si="12"/>
        <v>0.2272258081594431</v>
      </c>
      <c r="I60" s="4">
        <f t="shared" si="6"/>
        <v>3.1422486986997115E-2</v>
      </c>
      <c r="J60" s="4">
        <f t="shared" si="10"/>
        <v>1.2068050942286297</v>
      </c>
      <c r="K60" s="4">
        <f t="shared" si="7"/>
        <v>34.185069483659902</v>
      </c>
      <c r="L60" s="4">
        <f t="shared" si="8"/>
        <v>151.78170850744999</v>
      </c>
      <c r="M60" s="4">
        <f t="shared" si="9"/>
        <v>1.0741799009998956</v>
      </c>
    </row>
    <row r="61" spans="2:13" x14ac:dyDescent="0.3">
      <c r="B61" s="2">
        <v>36</v>
      </c>
      <c r="C61" s="2">
        <f t="shared" si="2"/>
        <v>1.0140799999999985</v>
      </c>
      <c r="D61" s="2">
        <f t="shared" si="3"/>
        <v>6.8820399999999893</v>
      </c>
      <c r="E61" s="5">
        <f t="shared" si="11"/>
        <v>205.82481592319937</v>
      </c>
      <c r="F61" s="5">
        <f t="shared" si="4"/>
        <v>252.32729502369324</v>
      </c>
      <c r="G61" s="35">
        <f t="shared" si="5"/>
        <v>1.2559311900725956</v>
      </c>
      <c r="H61" s="4">
        <f t="shared" si="12"/>
        <v>0.22823320397067959</v>
      </c>
      <c r="I61" s="4">
        <f t="shared" si="6"/>
        <v>3.1283791647236645E-2</v>
      </c>
      <c r="J61" s="4">
        <f t="shared" si="10"/>
        <v>1.2380888858758663</v>
      </c>
      <c r="K61" s="4">
        <f t="shared" si="7"/>
        <v>34.983420488806104</v>
      </c>
      <c r="L61" s="4">
        <f t="shared" si="8"/>
        <v>155.32638697029913</v>
      </c>
      <c r="M61" s="4">
        <f t="shared" si="9"/>
        <v>1.0944140376794798</v>
      </c>
    </row>
    <row r="62" spans="2:13" x14ac:dyDescent="0.3">
      <c r="B62" s="2">
        <v>37</v>
      </c>
      <c r="C62" s="2">
        <f t="shared" si="2"/>
        <v>1.0283599999999986</v>
      </c>
      <c r="D62" s="2">
        <f t="shared" si="3"/>
        <v>6.889179999999989</v>
      </c>
      <c r="E62" s="5">
        <f t="shared" si="11"/>
        <v>209.03646484479938</v>
      </c>
      <c r="F62" s="5">
        <f t="shared" si="4"/>
        <v>257.38613627941373</v>
      </c>
      <c r="G62" s="35">
        <f t="shared" si="5"/>
        <v>1.2595980113565091</v>
      </c>
      <c r="H62" s="4">
        <f t="shared" si="12"/>
        <v>0.2292320979234832</v>
      </c>
      <c r="I62" s="4">
        <f t="shared" si="6"/>
        <v>3.11474704663014E-2</v>
      </c>
      <c r="J62" s="4">
        <f t="shared" si="10"/>
        <v>1.2692363563421678</v>
      </c>
      <c r="K62" s="4">
        <f t="shared" si="7"/>
        <v>35.788979017336459</v>
      </c>
      <c r="L62" s="4">
        <f t="shared" si="8"/>
        <v>158.90306683697389</v>
      </c>
      <c r="M62" s="4">
        <f t="shared" si="9"/>
        <v>1.1147361669615679</v>
      </c>
    </row>
    <row r="63" spans="2:13" x14ac:dyDescent="0.3">
      <c r="B63" s="2">
        <v>38</v>
      </c>
      <c r="C63" s="2">
        <f t="shared" si="2"/>
        <v>1.0426399999999987</v>
      </c>
      <c r="D63" s="2">
        <f t="shared" si="3"/>
        <v>6.8963199999999887</v>
      </c>
      <c r="E63" s="5">
        <f t="shared" si="11"/>
        <v>212.25681428479936</v>
      </c>
      <c r="F63" s="5">
        <f t="shared" si="4"/>
        <v>262.48074189494884</v>
      </c>
      <c r="G63" s="35">
        <f t="shared" si="5"/>
        <v>1.2631996286790481</v>
      </c>
      <c r="H63" s="4">
        <f t="shared" si="12"/>
        <v>0.2302226951761647</v>
      </c>
      <c r="I63" s="4">
        <f t="shared" si="6"/>
        <v>3.1013449801447806E-2</v>
      </c>
      <c r="J63" s="4">
        <f t="shared" si="10"/>
        <v>1.3002498061436156</v>
      </c>
      <c r="K63" s="4">
        <f t="shared" si="7"/>
        <v>36.601731129687728</v>
      </c>
      <c r="L63" s="4">
        <f t="shared" si="8"/>
        <v>162.51168621581354</v>
      </c>
      <c r="M63" s="4">
        <f t="shared" si="9"/>
        <v>1.1351459510366599</v>
      </c>
    </row>
    <row r="64" spans="2:13" x14ac:dyDescent="0.3">
      <c r="B64" s="2">
        <v>39</v>
      </c>
      <c r="C64" s="2">
        <f t="shared" si="2"/>
        <v>1.0569199999999987</v>
      </c>
      <c r="D64" s="2">
        <f t="shared" si="3"/>
        <v>6.9034599999999884</v>
      </c>
      <c r="E64" s="5">
        <f t="shared" si="11"/>
        <v>215.48586424319939</v>
      </c>
      <c r="F64" s="5">
        <f t="shared" si="4"/>
        <v>267.61104878973055</v>
      </c>
      <c r="G64" s="35">
        <f t="shared" si="5"/>
        <v>1.2667381705476914</v>
      </c>
      <c r="H64" s="4">
        <f t="shared" si="12"/>
        <v>0.23120519321226435</v>
      </c>
      <c r="I64" s="4">
        <f t="shared" si="6"/>
        <v>3.0881659277631056E-2</v>
      </c>
      <c r="J64" s="4">
        <f t="shared" si="10"/>
        <v>1.3311314654212467</v>
      </c>
      <c r="K64" s="4">
        <f t="shared" si="7"/>
        <v>37.421663531395509</v>
      </c>
      <c r="L64" s="4">
        <f t="shared" si="8"/>
        <v>166.15218607939607</v>
      </c>
      <c r="M64" s="4">
        <f t="shared" si="9"/>
        <v>1.155643062778708</v>
      </c>
    </row>
    <row r="65" spans="1:13" x14ac:dyDescent="0.3">
      <c r="B65" s="2">
        <v>40</v>
      </c>
      <c r="C65" s="2">
        <f t="shared" si="2"/>
        <v>1.0711999999999988</v>
      </c>
      <c r="D65" s="2">
        <f t="shared" si="3"/>
        <v>6.9105999999999881</v>
      </c>
      <c r="E65" s="5">
        <f t="shared" si="11"/>
        <v>218.72361471999938</v>
      </c>
      <c r="F65" s="5">
        <f t="shared" si="4"/>
        <v>272.77699673094918</v>
      </c>
      <c r="G65" s="35">
        <f t="shared" si="5"/>
        <v>1.2702156660576496</v>
      </c>
      <c r="H65" s="4">
        <f t="shared" si="12"/>
        <v>0.2321797822260972</v>
      </c>
      <c r="I65" s="4">
        <f t="shared" si="6"/>
        <v>3.0752031600439076E-2</v>
      </c>
      <c r="J65" s="4">
        <f t="shared" si="10"/>
        <v>1.3618834970216858</v>
      </c>
      <c r="K65" s="4">
        <f t="shared" si="7"/>
        <v>38.248763547857237</v>
      </c>
      <c r="L65" s="4">
        <f t="shared" si="8"/>
        <v>169.82451015248614</v>
      </c>
      <c r="M65" s="4">
        <f t="shared" si="9"/>
        <v>1.1762271853014279</v>
      </c>
    </row>
    <row r="66" spans="1:13" x14ac:dyDescent="0.3">
      <c r="B66" s="2">
        <v>41</v>
      </c>
      <c r="C66" s="2">
        <f t="shared" si="2"/>
        <v>1.0854799999999989</v>
      </c>
      <c r="D66" s="2">
        <f t="shared" si="3"/>
        <v>6.9177399999999878</v>
      </c>
      <c r="E66" s="5">
        <f t="shared" si="11"/>
        <v>221.97006571519938</v>
      </c>
      <c r="F66" s="5">
        <f t="shared" si="4"/>
        <v>277.97852822112594</v>
      </c>
      <c r="G66" s="35">
        <f t="shared" si="5"/>
        <v>1.2736340508794637</v>
      </c>
      <c r="H66" s="4">
        <f t="shared" si="12"/>
        <v>0.233146645484097</v>
      </c>
      <c r="I66" s="4">
        <f t="shared" si="6"/>
        <v>3.0624502382072771E-2</v>
      </c>
      <c r="J66" s="4">
        <f t="shared" si="10"/>
        <v>1.3925079994037586</v>
      </c>
      <c r="K66" s="4">
        <f t="shared" si="7"/>
        <v>39.08301910035334</v>
      </c>
      <c r="L66" s="4">
        <f t="shared" si="8"/>
        <v>173.52860480556885</v>
      </c>
      <c r="M66" s="4">
        <f t="shared" si="9"/>
        <v>1.1968980115373664</v>
      </c>
    </row>
    <row r="67" spans="1:13" x14ac:dyDescent="0.3">
      <c r="B67" s="2">
        <v>42</v>
      </c>
      <c r="C67" s="2">
        <f t="shared" si="2"/>
        <v>1.099759999999999</v>
      </c>
      <c r="D67" s="2">
        <f t="shared" si="3"/>
        <v>6.9248799999999875</v>
      </c>
      <c r="E67" s="5">
        <f t="shared" si="11"/>
        <v>225.22521722879938</v>
      </c>
      <c r="F67" s="5">
        <f t="shared" si="4"/>
        <v>283.21558839139971</v>
      </c>
      <c r="G67" s="35">
        <f t="shared" si="5"/>
        <v>1.2769951728074156</v>
      </c>
      <c r="H67" s="4">
        <f t="shared" si="12"/>
        <v>0.23410595966377462</v>
      </c>
      <c r="I67" s="4">
        <f t="shared" si="6"/>
        <v>3.049900997930401E-2</v>
      </c>
      <c r="J67" s="4">
        <f t="shared" si="10"/>
        <v>1.4230070093830627</v>
      </c>
      <c r="K67" s="4">
        <f t="shared" si="7"/>
        <v>39.924418683249712</v>
      </c>
      <c r="L67" s="4">
        <f t="shared" si="8"/>
        <v>177.26441895362873</v>
      </c>
      <c r="M67" s="4">
        <f t="shared" si="9"/>
        <v>1.2176552438383443</v>
      </c>
    </row>
    <row r="68" spans="1:13" x14ac:dyDescent="0.3">
      <c r="B68" s="2">
        <v>43</v>
      </c>
      <c r="C68" s="2">
        <f t="shared" si="2"/>
        <v>1.114039999999999</v>
      </c>
      <c r="D68" s="2">
        <f t="shared" si="3"/>
        <v>6.9320199999999872</v>
      </c>
      <c r="E68" s="5">
        <f t="shared" si="11"/>
        <v>228.48906926079937</v>
      </c>
      <c r="F68" s="5">
        <f t="shared" si="4"/>
        <v>288.48812490017605</v>
      </c>
      <c r="G68" s="35">
        <f t="shared" si="5"/>
        <v>1.2803007969065714</v>
      </c>
      <c r="H68" s="4">
        <f t="shared" si="12"/>
        <v>0.23505789517194889</v>
      </c>
      <c r="I68" s="4">
        <f t="shared" si="6"/>
        <v>3.0375495342443066E-2</v>
      </c>
      <c r="J68" s="4">
        <f t="shared" si="10"/>
        <v>1.4533825047255058</v>
      </c>
      <c r="K68" s="4">
        <f t="shared" si="7"/>
        <v>40.772951342311735</v>
      </c>
      <c r="L68" s="4">
        <f t="shared" si="8"/>
        <v>181.03190395986411</v>
      </c>
      <c r="M68" s="4">
        <f t="shared" si="9"/>
        <v>1.238498593596048</v>
      </c>
    </row>
    <row r="69" spans="1:13" x14ac:dyDescent="0.3">
      <c r="B69" s="2">
        <v>44</v>
      </c>
      <c r="C69" s="2">
        <f t="shared" si="2"/>
        <v>1.1283199999999991</v>
      </c>
      <c r="D69" s="2">
        <f t="shared" si="3"/>
        <v>6.9391599999999869</v>
      </c>
      <c r="E69" s="5">
        <f t="shared" si="11"/>
        <v>231.76162181119938</v>
      </c>
      <c r="F69" s="5">
        <f t="shared" si="4"/>
        <v>293.79608783679942</v>
      </c>
      <c r="G69" s="35">
        <f t="shared" si="5"/>
        <v>1.283552610292549</v>
      </c>
      <c r="H69" s="4">
        <f t="shared" si="12"/>
        <v>0.23600261644376389</v>
      </c>
      <c r="I69" s="4">
        <f t="shared" si="6"/>
        <v>3.0253901874436911E-2</v>
      </c>
      <c r="J69" s="4">
        <f t="shared" si="10"/>
        <v>1.4836364065999428</v>
      </c>
      <c r="K69" s="4">
        <f t="shared" si="7"/>
        <v>41.628606654062864</v>
      </c>
      <c r="L69" s="4">
        <f t="shared" si="8"/>
        <v>184.83101354403914</v>
      </c>
      <c r="M69" s="4">
        <f t="shared" si="9"/>
        <v>1.2594277808815493</v>
      </c>
    </row>
    <row r="70" spans="1:13" x14ac:dyDescent="0.3">
      <c r="B70" s="2">
        <v>45</v>
      </c>
      <c r="C70" s="2">
        <f t="shared" si="2"/>
        <v>1.1425999999999992</v>
      </c>
      <c r="D70" s="2">
        <f t="shared" si="3"/>
        <v>6.9462999999999866</v>
      </c>
      <c r="E70" s="5">
        <f t="shared" si="11"/>
        <v>235.0428748799994</v>
      </c>
      <c r="F70" s="5">
        <f t="shared" si="4"/>
        <v>299.13942962994724</v>
      </c>
      <c r="G70" s="35">
        <f t="shared" si="5"/>
        <v>1.2867522265747908</v>
      </c>
      <c r="H70" s="4">
        <f t="shared" si="12"/>
        <v>0.23694028222388056</v>
      </c>
      <c r="I70" s="4">
        <f t="shared" si="6"/>
        <v>3.0134175299299879E-2</v>
      </c>
      <c r="J70" s="4">
        <f t="shared" si="10"/>
        <v>1.5137705818992426</v>
      </c>
      <c r="K70" s="4">
        <f t="shared" si="7"/>
        <v>42.491374706127424</v>
      </c>
      <c r="L70" s="4">
        <f t="shared" si="8"/>
        <v>188.66170369520577</v>
      </c>
      <c r="M70" s="4">
        <f t="shared" si="9"/>
        <v>1.2804425341026806</v>
      </c>
    </row>
    <row r="71" spans="1:13" x14ac:dyDescent="0.3">
      <c r="B71" s="2">
        <v>46</v>
      </c>
      <c r="C71" s="2">
        <f t="shared" si="2"/>
        <v>1.1568799999999992</v>
      </c>
      <c r="D71" s="2">
        <f t="shared" si="3"/>
        <v>6.9534399999999863</v>
      </c>
      <c r="E71" s="5">
        <f t="shared" si="11"/>
        <v>238.33282846719942</v>
      </c>
      <c r="F71" s="5">
        <f t="shared" si="4"/>
        <v>304.51810496045408</v>
      </c>
      <c r="G71" s="35">
        <f t="shared" si="5"/>
        <v>1.2899011899911632</v>
      </c>
      <c r="H71" s="4">
        <f t="shared" si="12"/>
        <v>0.23787104583111143</v>
      </c>
      <c r="I71" s="4">
        <f t="shared" si="6"/>
        <v>3.0016263539150569E-2</v>
      </c>
      <c r="J71" s="4">
        <f t="shared" si="10"/>
        <v>1.5437868454383932</v>
      </c>
      <c r="K71" s="4">
        <f t="shared" si="7"/>
        <v>43.361246078499349</v>
      </c>
      <c r="L71" s="4">
        <f t="shared" si="8"/>
        <v>192.52393258853712</v>
      </c>
      <c r="M71" s="4">
        <f t="shared" si="9"/>
        <v>1.3015425896781956</v>
      </c>
    </row>
    <row r="72" spans="1:13" x14ac:dyDescent="0.3">
      <c r="B72" s="2">
        <v>47</v>
      </c>
      <c r="C72" s="2">
        <f t="shared" si="2"/>
        <v>1.1711599999999993</v>
      </c>
      <c r="D72" s="2">
        <f t="shared" si="3"/>
        <v>6.960579999999986</v>
      </c>
      <c r="E72" s="5">
        <f t="shared" si="11"/>
        <v>241.6314825727994</v>
      </c>
      <c r="F72" s="5">
        <f t="shared" si="4"/>
        <v>309.93207067831275</v>
      </c>
      <c r="G72" s="35">
        <f t="shared" si="5"/>
        <v>1.2930009792590811</v>
      </c>
      <c r="H72" s="4">
        <f t="shared" si="12"/>
        <v>0.23879505540766741</v>
      </c>
      <c r="I72" s="4">
        <f t="shared" si="6"/>
        <v>2.9900116599192981E-2</v>
      </c>
      <c r="J72" s="4">
        <f t="shared" si="10"/>
        <v>1.5736869620375862</v>
      </c>
      <c r="K72" s="4">
        <f t="shared" si="7"/>
        <v>44.238211825685582</v>
      </c>
      <c r="L72" s="4">
        <f t="shared" si="8"/>
        <v>196.417660506044</v>
      </c>
      <c r="M72" s="4">
        <f t="shared" si="9"/>
        <v>1.3227276917277966</v>
      </c>
    </row>
    <row r="73" spans="1:13" x14ac:dyDescent="0.3">
      <c r="B73" s="2">
        <v>48</v>
      </c>
      <c r="C73" s="2">
        <f t="shared" si="2"/>
        <v>1.1854399999999994</v>
      </c>
      <c r="D73" s="2">
        <f t="shared" si="3"/>
        <v>6.9677199999999857</v>
      </c>
      <c r="E73" s="5">
        <f t="shared" si="11"/>
        <v>244.93883719679937</v>
      </c>
      <c r="F73" s="5">
        <f t="shared" si="4"/>
        <v>315.3812857235925</v>
      </c>
      <c r="G73" s="35">
        <f t="shared" si="5"/>
        <v>1.2960530111659854</v>
      </c>
      <c r="H73" s="4">
        <f t="shared" si="12"/>
        <v>0.2397124541540831</v>
      </c>
      <c r="I73" s="4">
        <f t="shared" si="6"/>
        <v>2.9785686460039047E-2</v>
      </c>
      <c r="J73" s="4">
        <f t="shared" si="10"/>
        <v>1.6034726484976252</v>
      </c>
      <c r="K73" s="4">
        <f t="shared" si="7"/>
        <v>45.122263459672183</v>
      </c>
      <c r="L73" s="4">
        <f t="shared" si="8"/>
        <v>200.34284976094452</v>
      </c>
      <c r="M73" s="4">
        <f t="shared" si="9"/>
        <v>1.3439975917770723</v>
      </c>
    </row>
    <row r="74" spans="1:13" x14ac:dyDescent="0.3">
      <c r="B74" s="2">
        <v>49</v>
      </c>
      <c r="C74" s="2">
        <f t="shared" si="2"/>
        <v>1.1997199999999995</v>
      </c>
      <c r="D74" s="2">
        <f t="shared" si="3"/>
        <v>6.9748599999999854</v>
      </c>
      <c r="E74" s="5">
        <f t="shared" si="11"/>
        <v>248.25489233919939</v>
      </c>
      <c r="F74" s="5">
        <f t="shared" si="4"/>
        <v>320.86571105105565</v>
      </c>
      <c r="G74" s="35">
        <f t="shared" si="5"/>
        <v>1.2990586439199108</v>
      </c>
      <c r="H74" s="4">
        <f t="shared" si="12"/>
        <v>0.2406233805508074</v>
      </c>
      <c r="I74" s="4">
        <f t="shared" si="6"/>
        <v>2.9672926976821355E-2</v>
      </c>
      <c r="J74" s="4">
        <f t="shared" si="10"/>
        <v>1.6331455754744466</v>
      </c>
      <c r="K74" s="4">
        <f t="shared" si="7"/>
        <v>46.0133929336683</v>
      </c>
      <c r="L74" s="4">
        <f t="shared" si="8"/>
        <v>204.29946462548727</v>
      </c>
      <c r="M74" s="4">
        <f t="shared" si="9"/>
        <v>1.3653520484765271</v>
      </c>
    </row>
    <row r="75" spans="1:13" x14ac:dyDescent="0.3">
      <c r="B75" s="2">
        <v>50</v>
      </c>
      <c r="C75" s="2">
        <f t="shared" si="2"/>
        <v>1.2139999999999995</v>
      </c>
      <c r="D75" s="2">
        <f t="shared" si="3"/>
        <v>6.9819999999999851</v>
      </c>
      <c r="E75" s="5">
        <f t="shared" si="11"/>
        <v>251.57964799999937</v>
      </c>
      <c r="F75" s="5">
        <f t="shared" si="4"/>
        <v>326.38530955825678</v>
      </c>
      <c r="G75" s="35">
        <f t="shared" si="5"/>
        <v>1.3020191802789829</v>
      </c>
      <c r="H75" s="4">
        <f t="shared" si="12"/>
        <v>0.24152796856736425</v>
      </c>
      <c r="I75" s="4">
        <f t="shared" si="6"/>
        <v>2.9561793784592678E-2</v>
      </c>
      <c r="J75" s="4">
        <f t="shared" si="10"/>
        <v>1.6627073692590393</v>
      </c>
      <c r="K75" s="4">
        <f t="shared" si="7"/>
        <v>46.911592626584451</v>
      </c>
      <c r="L75" s="4">
        <f t="shared" si="8"/>
        <v>208.28747126203498</v>
      </c>
      <c r="M75" s="4">
        <f t="shared" si="9"/>
        <v>1.386790827333908</v>
      </c>
    </row>
    <row r="76" spans="1:13" x14ac:dyDescent="0.3">
      <c r="A76" s="1" t="s">
        <v>21</v>
      </c>
      <c r="B76" s="2">
        <v>51</v>
      </c>
      <c r="C76" s="2">
        <v>0</v>
      </c>
      <c r="D76" s="2">
        <v>0</v>
      </c>
      <c r="E76" s="5">
        <v>0</v>
      </c>
      <c r="F76" s="5">
        <v>0</v>
      </c>
      <c r="G76" s="5">
        <v>0</v>
      </c>
      <c r="H76" s="5">
        <v>0</v>
      </c>
      <c r="I76" s="4">
        <f>I75</f>
        <v>2.9561793784592678E-2</v>
      </c>
      <c r="J76" s="4">
        <f t="shared" si="10"/>
        <v>1.692269163043632</v>
      </c>
      <c r="K76" s="2">
        <v>0</v>
      </c>
      <c r="L76" s="4">
        <f t="shared" si="8"/>
        <v>0</v>
      </c>
      <c r="M76" s="4">
        <f t="shared" si="9"/>
        <v>0</v>
      </c>
    </row>
  </sheetData>
  <mergeCells count="4">
    <mergeCell ref="A12:D12"/>
    <mergeCell ref="A2:D2"/>
    <mergeCell ref="E2:H2"/>
    <mergeCell ref="I2:M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C51A5-7767-4320-AF20-ACD672365C63}">
  <dimension ref="A2:N76"/>
  <sheetViews>
    <sheetView showGridLines="0" zoomScaleNormal="100" workbookViewId="0">
      <selection activeCell="C14" sqref="C14"/>
    </sheetView>
  </sheetViews>
  <sheetFormatPr defaultRowHeight="14.4" x14ac:dyDescent="0.3"/>
  <cols>
    <col min="1" max="1" width="13.109375" customWidth="1"/>
    <col min="2" max="2" width="9.21875" customWidth="1"/>
    <col min="3" max="3" width="9.33203125" customWidth="1"/>
    <col min="4" max="4" width="11.6640625" customWidth="1"/>
    <col min="5" max="5" width="12.5546875" customWidth="1"/>
    <col min="6" max="6" width="10.88671875" customWidth="1"/>
    <col min="7" max="7" width="15.6640625" bestFit="1" customWidth="1"/>
    <col min="8" max="8" width="10.5546875" customWidth="1"/>
    <col min="9" max="9" width="8.44140625" customWidth="1"/>
    <col min="10" max="10" width="10.21875" customWidth="1"/>
    <col min="11" max="11" width="9.88671875" customWidth="1"/>
    <col min="14" max="14" width="8.33203125" customWidth="1"/>
    <col min="18" max="18" width="7.5546875" customWidth="1"/>
  </cols>
  <sheetData>
    <row r="2" spans="1:14" ht="21" x14ac:dyDescent="0.4">
      <c r="A2" s="40" t="s">
        <v>0</v>
      </c>
      <c r="B2" s="40"/>
      <c r="C2" s="40"/>
      <c r="D2" s="40"/>
      <c r="E2" s="40" t="s">
        <v>1</v>
      </c>
      <c r="F2" s="40"/>
      <c r="G2" s="40"/>
      <c r="H2" s="40"/>
      <c r="I2" s="40" t="s">
        <v>18</v>
      </c>
      <c r="J2" s="40"/>
      <c r="K2" s="40"/>
      <c r="L2" s="40"/>
      <c r="M2" s="40"/>
      <c r="N2" s="7"/>
    </row>
    <row r="3" spans="1:14" x14ac:dyDescent="0.3">
      <c r="B3" s="1" t="s">
        <v>6</v>
      </c>
      <c r="C3" s="18">
        <v>1.214</v>
      </c>
      <c r="D3" s="3" t="s">
        <v>9</v>
      </c>
      <c r="F3" s="1" t="s">
        <v>2</v>
      </c>
      <c r="G3" s="18">
        <v>6.2E-2</v>
      </c>
      <c r="H3" t="s">
        <v>3</v>
      </c>
      <c r="K3" s="1" t="s">
        <v>19</v>
      </c>
      <c r="L3" s="8">
        <f>(C3-C4)/50</f>
        <v>1.4279999999999999E-2</v>
      </c>
      <c r="M3" t="s">
        <v>9</v>
      </c>
    </row>
    <row r="4" spans="1:14" x14ac:dyDescent="0.3">
      <c r="B4" s="1" t="s">
        <v>7</v>
      </c>
      <c r="C4" s="18">
        <v>0.5</v>
      </c>
      <c r="D4" s="3" t="s">
        <v>9</v>
      </c>
      <c r="F4" s="1" t="s">
        <v>4</v>
      </c>
      <c r="G4" s="18">
        <v>6.7599999999999993E-2</v>
      </c>
      <c r="H4" t="s">
        <v>35</v>
      </c>
      <c r="K4" s="1" t="s">
        <v>20</v>
      </c>
      <c r="L4" s="8">
        <f>(C6-C5)/50</f>
        <v>7.1399999999999866E-3</v>
      </c>
      <c r="M4" t="s">
        <v>9</v>
      </c>
    </row>
    <row r="5" spans="1:14" x14ac:dyDescent="0.3">
      <c r="B5" s="1" t="s">
        <v>8</v>
      </c>
      <c r="C5" s="18">
        <v>16</v>
      </c>
      <c r="D5" s="3" t="s">
        <v>9</v>
      </c>
      <c r="F5" s="1" t="s">
        <v>5</v>
      </c>
      <c r="G5" s="18">
        <v>0.22</v>
      </c>
    </row>
    <row r="6" spans="1:14" x14ac:dyDescent="0.3">
      <c r="B6" s="1" t="s">
        <v>15</v>
      </c>
      <c r="C6" s="2">
        <f>((C3-C4)/2)+C5</f>
        <v>16.356999999999999</v>
      </c>
      <c r="D6" s="3" t="s">
        <v>9</v>
      </c>
      <c r="F6" s="1" t="s">
        <v>10</v>
      </c>
      <c r="G6" s="38">
        <v>885</v>
      </c>
      <c r="H6" t="s">
        <v>12</v>
      </c>
    </row>
    <row r="7" spans="1:14" x14ac:dyDescent="0.3">
      <c r="B7" s="1" t="s">
        <v>13</v>
      </c>
      <c r="C7" s="4">
        <f>(((3.14*(C3/2)^2)*C6)-((3.14*(C4/2)^2)*C5))*G3</f>
        <v>0.9786019066412398</v>
      </c>
      <c r="D7" s="3" t="s">
        <v>14</v>
      </c>
      <c r="F7" s="1"/>
      <c r="G7" s="39"/>
    </row>
    <row r="8" spans="1:14" x14ac:dyDescent="0.3">
      <c r="B8" s="1"/>
      <c r="C8" s="6"/>
      <c r="D8" s="3"/>
    </row>
    <row r="9" spans="1:14" x14ac:dyDescent="0.3">
      <c r="B9" s="1"/>
      <c r="C9" s="6"/>
      <c r="D9" s="3"/>
    </row>
    <row r="10" spans="1:14" ht="20.399999999999999" x14ac:dyDescent="0.35">
      <c r="A10" s="40" t="s">
        <v>22</v>
      </c>
      <c r="B10" s="40"/>
      <c r="C10" s="40"/>
      <c r="D10" s="40"/>
    </row>
    <row r="11" spans="1:14" x14ac:dyDescent="0.3">
      <c r="B11" s="1" t="s">
        <v>23</v>
      </c>
      <c r="C11" s="5">
        <f>SUM(L25:L76)</f>
        <v>66.198694345277886</v>
      </c>
      <c r="D11" s="3" t="s">
        <v>24</v>
      </c>
    </row>
    <row r="12" spans="1:14" x14ac:dyDescent="0.3">
      <c r="B12" s="1" t="s">
        <v>23</v>
      </c>
      <c r="C12" s="5">
        <f>C11*4.44</f>
        <v>293.92220289303384</v>
      </c>
      <c r="D12" s="3" t="s">
        <v>25</v>
      </c>
    </row>
    <row r="13" spans="1:14" x14ac:dyDescent="0.3">
      <c r="B13" s="1" t="s">
        <v>27</v>
      </c>
      <c r="C13" s="4">
        <f>I76</f>
        <v>2.1050646585153348</v>
      </c>
      <c r="D13" s="3" t="s">
        <v>28</v>
      </c>
      <c r="E13" s="3"/>
      <c r="F13" s="3"/>
      <c r="G13" s="3"/>
    </row>
    <row r="14" spans="1:14" x14ac:dyDescent="0.3">
      <c r="B14" s="1" t="s">
        <v>26</v>
      </c>
      <c r="C14" s="5">
        <f>C11/C13</f>
        <v>31.447344896268728</v>
      </c>
      <c r="D14" s="3" t="s">
        <v>29</v>
      </c>
      <c r="E14" s="3"/>
      <c r="F14" s="3"/>
      <c r="G14" s="3"/>
    </row>
    <row r="15" spans="1:14" x14ac:dyDescent="0.3">
      <c r="B15" s="1" t="s">
        <v>26</v>
      </c>
      <c r="C15" s="5">
        <f>C14*4.44</f>
        <v>139.62621133943315</v>
      </c>
      <c r="D15" s="3" t="s">
        <v>30</v>
      </c>
      <c r="E15" s="3"/>
      <c r="F15" s="3"/>
      <c r="G15" s="3"/>
    </row>
    <row r="16" spans="1:14" x14ac:dyDescent="0.3">
      <c r="B16" s="1" t="s">
        <v>52</v>
      </c>
      <c r="C16" s="5">
        <f>C11/C7</f>
        <v>67.646193918102227</v>
      </c>
      <c r="D16" s="3" t="s">
        <v>28</v>
      </c>
      <c r="E16" s="3"/>
      <c r="F16" s="3"/>
      <c r="G16" s="3"/>
    </row>
    <row r="17" spans="1:12" x14ac:dyDescent="0.3">
      <c r="B17" s="1" t="s">
        <v>70</v>
      </c>
      <c r="C17" s="5">
        <f>MAX(F23:F74)</f>
        <v>133.81857840276217</v>
      </c>
      <c r="D17" s="3" t="s">
        <v>69</v>
      </c>
      <c r="E17" s="3"/>
      <c r="F17" s="3"/>
      <c r="G17" s="3"/>
    </row>
    <row r="18" spans="1:12" x14ac:dyDescent="0.3">
      <c r="B18" s="1" t="s">
        <v>71</v>
      </c>
      <c r="C18" s="5">
        <f>MAX(J23:J74)</f>
        <v>36.524188753733867</v>
      </c>
      <c r="D18" s="3" t="s">
        <v>29</v>
      </c>
      <c r="E18" s="3"/>
      <c r="F18" s="3"/>
      <c r="G18" s="3"/>
    </row>
    <row r="19" spans="1:12" x14ac:dyDescent="0.3">
      <c r="B19" s="1" t="s">
        <v>71</v>
      </c>
      <c r="C19" s="5">
        <f>C18*4.44</f>
        <v>162.16739806657839</v>
      </c>
      <c r="D19" s="3" t="s">
        <v>30</v>
      </c>
      <c r="E19" s="3"/>
      <c r="F19" s="3"/>
      <c r="G19" s="3"/>
    </row>
    <row r="20" spans="1:12" x14ac:dyDescent="0.3">
      <c r="B20" s="1" t="s">
        <v>107</v>
      </c>
      <c r="C20" s="4" t="str">
        <f>VLOOKUP(C12,'Motor Classification'!B1:C19,2,TRUE)</f>
        <v>H</v>
      </c>
      <c r="D20" s="3"/>
      <c r="E20" s="3"/>
      <c r="F20" s="3"/>
      <c r="G20" s="3"/>
    </row>
    <row r="21" spans="1:12" x14ac:dyDescent="0.3">
      <c r="B21" s="1"/>
      <c r="C21" s="6"/>
      <c r="D21" s="3"/>
      <c r="E21" s="3"/>
      <c r="F21" s="3"/>
      <c r="G21" s="3"/>
    </row>
    <row r="22" spans="1:12" x14ac:dyDescent="0.3">
      <c r="B22" s="1"/>
      <c r="C22" s="6"/>
      <c r="D22" s="3"/>
      <c r="E22" s="3"/>
      <c r="F22" s="3"/>
      <c r="G22" s="3"/>
    </row>
    <row r="24" spans="1:12" ht="47.4" customHeight="1" x14ac:dyDescent="0.3">
      <c r="B24" s="9" t="s">
        <v>62</v>
      </c>
      <c r="C24" s="9" t="s">
        <v>55</v>
      </c>
      <c r="D24" s="9" t="s">
        <v>56</v>
      </c>
      <c r="E24" s="9" t="s">
        <v>11</v>
      </c>
      <c r="F24" s="9" t="s">
        <v>57</v>
      </c>
      <c r="G24" s="9" t="s">
        <v>58</v>
      </c>
      <c r="H24" s="9" t="s">
        <v>59</v>
      </c>
      <c r="I24" s="9" t="s">
        <v>60</v>
      </c>
      <c r="J24" s="9" t="s">
        <v>16</v>
      </c>
      <c r="K24" s="9" t="s">
        <v>31</v>
      </c>
      <c r="L24" s="9" t="s">
        <v>61</v>
      </c>
    </row>
    <row r="25" spans="1:12" x14ac:dyDescent="0.3">
      <c r="B25" s="2">
        <v>0</v>
      </c>
      <c r="C25" s="2">
        <f>C4</f>
        <v>0.5</v>
      </c>
      <c r="D25" s="2">
        <f>C5</f>
        <v>16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</row>
    <row r="26" spans="1:12" x14ac:dyDescent="0.3">
      <c r="A26" s="1" t="s">
        <v>17</v>
      </c>
      <c r="B26" s="2">
        <v>1</v>
      </c>
      <c r="C26" s="2">
        <f>C25+$L$3</f>
        <v>0.51427999999999996</v>
      </c>
      <c r="D26" s="2">
        <f>D25+$L$4</f>
        <v>16.00714</v>
      </c>
      <c r="E26" s="5">
        <f>((3.14*(C26/2)^2)+((6.28*(C26/2))*D26))/(3.14*(C26/2)^2)</f>
        <v>125.50136112623477</v>
      </c>
      <c r="F26" s="5">
        <f>(((E26*$G$3*$G$4*($G$6*39.37))/(386.4))^(1/(1-$G$5)))*0.95</f>
        <v>133.81857840276217</v>
      </c>
      <c r="G26" s="4">
        <f t="shared" ref="G26:G57" si="0">$G$4*F26^$G$5</f>
        <v>0.19850904798354746</v>
      </c>
      <c r="H26" s="4">
        <f>$L$4/G26</f>
        <v>3.5968133808146389E-2</v>
      </c>
      <c r="I26" s="4">
        <f>I25+H26</f>
        <v>3.5968133808146389E-2</v>
      </c>
      <c r="J26" s="4">
        <f>IF(F26 &lt;14.7,0, (3.14*(C26/2)^2)*(F26-14.7))</f>
        <v>24.731384470607114</v>
      </c>
      <c r="K26" s="4">
        <f>J26*4.44</f>
        <v>109.8073470494956</v>
      </c>
      <c r="L26" s="4">
        <f>J26*H26</f>
        <v>0.88954174589951029</v>
      </c>
    </row>
    <row r="27" spans="1:12" x14ac:dyDescent="0.3">
      <c r="B27" s="2">
        <v>2</v>
      </c>
      <c r="C27" s="2">
        <f t="shared" ref="C27:C75" si="1">C26+$L$3</f>
        <v>0.52855999999999992</v>
      </c>
      <c r="D27" s="2">
        <f t="shared" ref="D27:D75" si="2">D26+$L$4</f>
        <v>16.014279999999999</v>
      </c>
      <c r="E27" s="5">
        <f t="shared" ref="E27:E75" si="3">((3.14*(C27/2)^2)+((6.28*(C27/2))*D27))/(3.14*(C27/2)^2)</f>
        <v>122.19176630846073</v>
      </c>
      <c r="F27" s="5">
        <f t="shared" ref="F27:F75" si="4">(((E27*$G$3*$G$4*($G$6*39.37))/(386.4))^(1/(1-$G$5)))*0.95</f>
        <v>129.31124476099606</v>
      </c>
      <c r="G27" s="4">
        <f t="shared" si="0"/>
        <v>0.19701835120127525</v>
      </c>
      <c r="H27" s="4">
        <f t="shared" ref="H27:H75" si="5">$L$4/G27</f>
        <v>3.6240278920544385E-2</v>
      </c>
      <c r="I27" s="4">
        <f>I26+H27</f>
        <v>7.2208412728690774E-2</v>
      </c>
      <c r="J27" s="4">
        <f t="shared" ref="J27:J75" si="6">IF(F27 &lt;14.7,0, (3.14*(C27/2)^2)*(F27-14.7))</f>
        <v>25.135381060181626</v>
      </c>
      <c r="K27" s="4">
        <f t="shared" ref="K27:K76" si="7">J27*4.44</f>
        <v>111.60109190720642</v>
      </c>
      <c r="L27" s="4">
        <f t="shared" ref="L27:L76" si="8">J27*H27</f>
        <v>0.91091322039515077</v>
      </c>
    </row>
    <row r="28" spans="1:12" x14ac:dyDescent="0.3">
      <c r="B28" s="2">
        <v>3</v>
      </c>
      <c r="C28" s="2">
        <f t="shared" si="1"/>
        <v>0.54283999999999988</v>
      </c>
      <c r="D28" s="2">
        <f t="shared" si="2"/>
        <v>16.021419999999999</v>
      </c>
      <c r="E28" s="5">
        <f t="shared" si="3"/>
        <v>119.05629651462682</v>
      </c>
      <c r="F28" s="5">
        <f t="shared" si="4"/>
        <v>125.07268686831478</v>
      </c>
      <c r="G28" s="4">
        <f t="shared" si="0"/>
        <v>0.19557909917603394</v>
      </c>
      <c r="H28" s="4">
        <f t="shared" si="5"/>
        <v>3.6506968434155233E-2</v>
      </c>
      <c r="I28" s="4">
        <f t="shared" ref="I28:I76" si="9">I27+H28</f>
        <v>0.10871538116284601</v>
      </c>
      <c r="J28" s="4">
        <f t="shared" si="6"/>
        <v>25.531419142056425</v>
      </c>
      <c r="K28" s="4">
        <f t="shared" si="7"/>
        <v>113.35950099073054</v>
      </c>
      <c r="L28" s="4">
        <f t="shared" si="8"/>
        <v>0.9320747126982406</v>
      </c>
    </row>
    <row r="29" spans="1:12" x14ac:dyDescent="0.3">
      <c r="B29" s="2">
        <v>4</v>
      </c>
      <c r="C29" s="2">
        <f t="shared" si="1"/>
        <v>0.55711999999999984</v>
      </c>
      <c r="D29" s="2">
        <f t="shared" si="2"/>
        <v>16.028559999999999</v>
      </c>
      <c r="E29" s="5">
        <f t="shared" si="3"/>
        <v>116.08156232050548</v>
      </c>
      <c r="F29" s="5">
        <f t="shared" si="4"/>
        <v>121.08040328655096</v>
      </c>
      <c r="G29" s="4">
        <f t="shared" si="0"/>
        <v>0.19418824862765743</v>
      </c>
      <c r="H29" s="4">
        <f t="shared" si="5"/>
        <v>3.6768445312519625E-2</v>
      </c>
      <c r="I29" s="4">
        <f t="shared" si="9"/>
        <v>0.14548382647536565</v>
      </c>
      <c r="J29" s="4">
        <f t="shared" si="6"/>
        <v>25.919629419699053</v>
      </c>
      <c r="K29" s="4">
        <f t="shared" si="7"/>
        <v>115.0831546234638</v>
      </c>
      <c r="L29" s="4">
        <f t="shared" si="8"/>
        <v>0.9530244768389794</v>
      </c>
    </row>
    <row r="30" spans="1:12" x14ac:dyDescent="0.3">
      <c r="B30" s="2">
        <v>5</v>
      </c>
      <c r="C30" s="2">
        <f t="shared" si="1"/>
        <v>0.5713999999999998</v>
      </c>
      <c r="D30" s="2">
        <f t="shared" si="2"/>
        <v>16.035699999999999</v>
      </c>
      <c r="E30" s="5">
        <f t="shared" si="3"/>
        <v>113.25551277563882</v>
      </c>
      <c r="F30" s="5">
        <f t="shared" si="4"/>
        <v>117.31429039059456</v>
      </c>
      <c r="G30" s="4">
        <f t="shared" si="0"/>
        <v>0.1928430083700218</v>
      </c>
      <c r="H30" s="4">
        <f t="shared" si="5"/>
        <v>3.7024935777292753E-2</v>
      </c>
      <c r="I30" s="4">
        <f t="shared" si="9"/>
        <v>0.18250876225265839</v>
      </c>
      <c r="J30" s="4">
        <f t="shared" si="6"/>
        <v>26.300134836310715</v>
      </c>
      <c r="K30" s="4">
        <f t="shared" si="7"/>
        <v>116.77259867321959</v>
      </c>
      <c r="L30" s="4">
        <f t="shared" si="8"/>
        <v>0.97376080324854408</v>
      </c>
    </row>
    <row r="31" spans="1:12" x14ac:dyDescent="0.3">
      <c r="B31" s="2">
        <v>6</v>
      </c>
      <c r="C31" s="2">
        <f t="shared" si="1"/>
        <v>0.58567999999999976</v>
      </c>
      <c r="D31" s="2">
        <f t="shared" si="2"/>
        <v>16.042839999999998</v>
      </c>
      <c r="E31" s="5">
        <f t="shared" si="3"/>
        <v>110.56727223056963</v>
      </c>
      <c r="F31" s="5">
        <f t="shared" si="4"/>
        <v>113.75633476897519</v>
      </c>
      <c r="G31" s="4">
        <f t="shared" si="0"/>
        <v>0.19154081274387141</v>
      </c>
      <c r="H31" s="4">
        <f t="shared" si="5"/>
        <v>3.727665084906788E-2</v>
      </c>
      <c r="I31" s="4">
        <f t="shared" si="9"/>
        <v>0.21978541310172628</v>
      </c>
      <c r="J31" s="4">
        <f t="shared" si="6"/>
        <v>26.673051214074562</v>
      </c>
      <c r="K31" s="4">
        <f t="shared" si="7"/>
        <v>118.42834739049107</v>
      </c>
      <c r="L31" s="4">
        <f t="shared" si="8"/>
        <v>0.99428201718636355</v>
      </c>
    </row>
    <row r="32" spans="1:12" x14ac:dyDescent="0.3">
      <c r="B32" s="2">
        <v>7</v>
      </c>
      <c r="C32" s="2">
        <f t="shared" si="1"/>
        <v>0.59995999999999972</v>
      </c>
      <c r="D32" s="2">
        <f t="shared" si="2"/>
        <v>16.049979999999998</v>
      </c>
      <c r="E32" s="5">
        <f t="shared" si="3"/>
        <v>108.0070004666978</v>
      </c>
      <c r="F32" s="5">
        <f t="shared" si="4"/>
        <v>110.39035144675354</v>
      </c>
      <c r="G32" s="4">
        <f t="shared" si="0"/>
        <v>0.19027929842002228</v>
      </c>
      <c r="H32" s="4">
        <f t="shared" si="5"/>
        <v>3.7523787712519095E-2</v>
      </c>
      <c r="I32" s="4">
        <f t="shared" si="9"/>
        <v>0.25730920081424535</v>
      </c>
      <c r="J32" s="4">
        <f t="shared" si="6"/>
        <v>27.038487826597098</v>
      </c>
      <c r="K32" s="4">
        <f t="shared" si="7"/>
        <v>120.05088595009113</v>
      </c>
      <c r="L32" s="4">
        <f t="shared" si="8"/>
        <v>1.0145864772727613</v>
      </c>
    </row>
    <row r="33" spans="2:12" x14ac:dyDescent="0.3">
      <c r="B33" s="2">
        <v>8</v>
      </c>
      <c r="C33" s="2">
        <f t="shared" si="1"/>
        <v>0.61423999999999968</v>
      </c>
      <c r="D33" s="2">
        <f t="shared" si="2"/>
        <v>16.057119999999998</v>
      </c>
      <c r="E33" s="5">
        <f t="shared" si="3"/>
        <v>105.56577233654602</v>
      </c>
      <c r="F33" s="5">
        <f t="shared" si="4"/>
        <v>107.2017602009648</v>
      </c>
      <c r="G33" s="4">
        <f t="shared" si="0"/>
        <v>0.18905628407636443</v>
      </c>
      <c r="H33" s="4">
        <f t="shared" si="5"/>
        <v>3.7766530929572099E-2</v>
      </c>
      <c r="I33" s="4">
        <f t="shared" si="9"/>
        <v>0.29507573174381746</v>
      </c>
      <c r="J33" s="4">
        <f t="shared" si="6"/>
        <v>27.396547912938704</v>
      </c>
      <c r="K33" s="4">
        <f t="shared" si="7"/>
        <v>121.64067273344786</v>
      </c>
      <c r="L33" s="4">
        <f t="shared" si="8"/>
        <v>1.0346725741175036</v>
      </c>
    </row>
    <row r="34" spans="2:12" x14ac:dyDescent="0.3">
      <c r="B34" s="2">
        <v>9</v>
      </c>
      <c r="C34" s="2">
        <f t="shared" si="1"/>
        <v>0.62851999999999963</v>
      </c>
      <c r="D34" s="2">
        <f t="shared" si="2"/>
        <v>16.064259999999997</v>
      </c>
      <c r="E34" s="5">
        <f t="shared" si="3"/>
        <v>103.23547381149373</v>
      </c>
      <c r="F34" s="5">
        <f t="shared" si="4"/>
        <v>104.17739368831614</v>
      </c>
      <c r="G34" s="4">
        <f t="shared" si="0"/>
        <v>0.1878697525349485</v>
      </c>
      <c r="H34" s="4">
        <f t="shared" si="5"/>
        <v>3.8005053520639341E-2</v>
      </c>
      <c r="I34" s="4">
        <f t="shared" si="9"/>
        <v>0.33308078526445678</v>
      </c>
      <c r="J34" s="4">
        <f t="shared" si="6"/>
        <v>27.747329140404251</v>
      </c>
      <c r="K34" s="4">
        <f t="shared" si="7"/>
        <v>123.19814138339488</v>
      </c>
      <c r="L34" s="4">
        <f t="shared" si="8"/>
        <v>1.0545387290358592</v>
      </c>
    </row>
    <row r="35" spans="2:12" x14ac:dyDescent="0.3">
      <c r="B35" s="2">
        <v>10</v>
      </c>
      <c r="C35" s="2">
        <f t="shared" si="1"/>
        <v>0.64279999999999959</v>
      </c>
      <c r="D35" s="2">
        <f t="shared" si="2"/>
        <v>16.071399999999997</v>
      </c>
      <c r="E35" s="5">
        <f t="shared" si="3"/>
        <v>101.00871188550094</v>
      </c>
      <c r="F35" s="5">
        <f t="shared" si="4"/>
        <v>101.30533225642607</v>
      </c>
      <c r="G35" s="4">
        <f t="shared" si="0"/>
        <v>0.18671783501293759</v>
      </c>
      <c r="H35" s="4">
        <f t="shared" si="5"/>
        <v>3.8239517930921056E-2</v>
      </c>
      <c r="I35" s="4">
        <f t="shared" si="9"/>
        <v>0.37132030319537784</v>
      </c>
      <c r="J35" s="4">
        <f t="shared" si="6"/>
        <v>28.090924022242536</v>
      </c>
      <c r="K35" s="4">
        <f t="shared" si="7"/>
        <v>124.72370265875688</v>
      </c>
      <c r="L35" s="4">
        <f t="shared" si="8"/>
        <v>1.0741833928446844</v>
      </c>
    </row>
    <row r="36" spans="2:12" x14ac:dyDescent="0.3">
      <c r="B36" s="2">
        <v>11</v>
      </c>
      <c r="C36" s="2">
        <f t="shared" si="1"/>
        <v>0.65707999999999955</v>
      </c>
      <c r="D36" s="2">
        <f t="shared" si="2"/>
        <v>16.078539999999997</v>
      </c>
      <c r="E36" s="5">
        <f t="shared" si="3"/>
        <v>98.878736226943502</v>
      </c>
      <c r="F36" s="5">
        <f t="shared" si="4"/>
        <v>98.57476122994052</v>
      </c>
      <c r="G36" s="4">
        <f t="shared" si="0"/>
        <v>0.1855987971964459</v>
      </c>
      <c r="H36" s="4">
        <f t="shared" si="5"/>
        <v>3.8470076896256485E-2</v>
      </c>
      <c r="I36" s="4">
        <f t="shared" si="9"/>
        <v>0.40979038009163432</v>
      </c>
      <c r="J36" s="4">
        <f t="shared" si="6"/>
        <v>28.427420295545584</v>
      </c>
      <c r="K36" s="4">
        <f t="shared" si="7"/>
        <v>126.2177461122224</v>
      </c>
      <c r="L36" s="4">
        <f t="shared" si="8"/>
        <v>1.0936050447318408</v>
      </c>
    </row>
    <row r="37" spans="2:12" x14ac:dyDescent="0.3">
      <c r="B37" s="2">
        <v>12</v>
      </c>
      <c r="C37" s="2">
        <f t="shared" si="1"/>
        <v>0.67135999999999951</v>
      </c>
      <c r="D37" s="2">
        <f t="shared" si="2"/>
        <v>16.085679999999996</v>
      </c>
      <c r="E37" s="5">
        <f t="shared" si="3"/>
        <v>96.839370829361343</v>
      </c>
      <c r="F37" s="5">
        <f t="shared" si="4"/>
        <v>95.975847201850399</v>
      </c>
      <c r="G37" s="4">
        <f t="shared" si="0"/>
        <v>0.18451102689171964</v>
      </c>
      <c r="H37" s="4">
        <f t="shared" si="5"/>
        <v>3.8696874220910921E-2</v>
      </c>
      <c r="I37" s="4">
        <f t="shared" si="9"/>
        <v>0.44848725431254521</v>
      </c>
      <c r="J37" s="4">
        <f t="shared" si="6"/>
        <v>28.75690126391671</v>
      </c>
      <c r="K37" s="4">
        <f t="shared" si="7"/>
        <v>127.68064161179021</v>
      </c>
      <c r="L37" s="4">
        <f t="shared" si="8"/>
        <v>1.1128021911929391</v>
      </c>
    </row>
    <row r="38" spans="2:12" x14ac:dyDescent="0.3">
      <c r="B38" s="2">
        <v>13</v>
      </c>
      <c r="C38" s="2">
        <f t="shared" si="1"/>
        <v>0.68563999999999947</v>
      </c>
      <c r="D38" s="2">
        <f t="shared" si="2"/>
        <v>16.092819999999996</v>
      </c>
      <c r="E38" s="5">
        <f t="shared" si="3"/>
        <v>94.884954203372075</v>
      </c>
      <c r="F38" s="5">
        <f t="shared" si="4"/>
        <v>93.499630456919974</v>
      </c>
      <c r="G38" s="4">
        <f t="shared" si="0"/>
        <v>0.18345302304565173</v>
      </c>
      <c r="H38" s="4">
        <f t="shared" si="5"/>
        <v>3.892004547792717E-2</v>
      </c>
      <c r="I38" s="4">
        <f t="shared" si="9"/>
        <v>0.48740729979047237</v>
      </c>
      <c r="J38" s="4">
        <f t="shared" si="6"/>
        <v>29.079446108867259</v>
      </c>
      <c r="K38" s="4">
        <f t="shared" si="7"/>
        <v>129.11274072337065</v>
      </c>
      <c r="L38" s="4">
        <f t="shared" si="8"/>
        <v>1.1317733650300461</v>
      </c>
    </row>
    <row r="39" spans="2:12" x14ac:dyDescent="0.3">
      <c r="B39" s="2">
        <v>14</v>
      </c>
      <c r="C39" s="2">
        <f t="shared" si="1"/>
        <v>0.69991999999999943</v>
      </c>
      <c r="D39" s="2">
        <f t="shared" si="2"/>
        <v>16.099959999999996</v>
      </c>
      <c r="E39" s="5">
        <f t="shared" si="3"/>
        <v>93.010286889930342</v>
      </c>
      <c r="F39" s="5">
        <f t="shared" si="4"/>
        <v>91.137931138084937</v>
      </c>
      <c r="G39" s="4">
        <f t="shared" si="0"/>
        <v>0.18242338595876217</v>
      </c>
      <c r="H39" s="4">
        <f t="shared" si="5"/>
        <v>3.9139718641194518E-2</v>
      </c>
      <c r="I39" s="4">
        <f t="shared" si="9"/>
        <v>0.52654701843166685</v>
      </c>
      <c r="J39" s="4">
        <f t="shared" si="6"/>
        <v>29.395130173382828</v>
      </c>
      <c r="K39" s="4">
        <f t="shared" si="7"/>
        <v>130.51437796981978</v>
      </c>
      <c r="L39" s="4">
        <f t="shared" si="8"/>
        <v>1.1505171244074914</v>
      </c>
    </row>
    <row r="40" spans="2:12" x14ac:dyDescent="0.3">
      <c r="B40" s="2">
        <v>15</v>
      </c>
      <c r="C40" s="2">
        <f t="shared" si="1"/>
        <v>0.71419999999999939</v>
      </c>
      <c r="D40" s="2">
        <f t="shared" si="2"/>
        <v>16.107099999999996</v>
      </c>
      <c r="E40" s="5">
        <f t="shared" si="3"/>
        <v>91.2105852702325</v>
      </c>
      <c r="F40" s="5">
        <f t="shared" si="4"/>
        <v>88.883267161092675</v>
      </c>
      <c r="G40" s="4">
        <f t="shared" si="0"/>
        <v>0.18142080853972595</v>
      </c>
      <c r="H40" s="4">
        <f t="shared" si="5"/>
        <v>3.9356014657141891E-2</v>
      </c>
      <c r="I40" s="4">
        <f t="shared" si="9"/>
        <v>0.56590303308880874</v>
      </c>
      <c r="J40" s="4">
        <f t="shared" si="6"/>
        <v>29.704025220659261</v>
      </c>
      <c r="K40" s="4">
        <f t="shared" si="7"/>
        <v>131.88587197972714</v>
      </c>
      <c r="L40" s="4">
        <f t="shared" si="8"/>
        <v>1.1690320519603783</v>
      </c>
    </row>
    <row r="41" spans="2:12" x14ac:dyDescent="0.3">
      <c r="B41" s="2">
        <v>16</v>
      </c>
      <c r="C41" s="2">
        <f t="shared" si="1"/>
        <v>0.72847999999999935</v>
      </c>
      <c r="D41" s="2">
        <f t="shared" si="2"/>
        <v>16.114239999999995</v>
      </c>
      <c r="E41" s="5">
        <f t="shared" si="3"/>
        <v>89.481440808258341</v>
      </c>
      <c r="F41" s="5">
        <f t="shared" si="4"/>
        <v>86.72878220552191</v>
      </c>
      <c r="G41" s="4">
        <f t="shared" si="0"/>
        <v>0.18044406847223129</v>
      </c>
      <c r="H41" s="4">
        <f t="shared" si="5"/>
        <v>3.9569047962908062E-2</v>
      </c>
      <c r="I41" s="4">
        <f t="shared" si="9"/>
        <v>0.60547208105171679</v>
      </c>
      <c r="J41" s="4">
        <f t="shared" si="6"/>
        <v>30.006199670633119</v>
      </c>
      <c r="K41" s="4">
        <f t="shared" si="7"/>
        <v>133.22752653761106</v>
      </c>
      <c r="L41" s="4">
        <f t="shared" si="8"/>
        <v>1.1873167539518781</v>
      </c>
    </row>
    <row r="42" spans="2:12" x14ac:dyDescent="0.3">
      <c r="B42" s="2">
        <v>17</v>
      </c>
      <c r="C42" s="2">
        <f t="shared" si="1"/>
        <v>0.74275999999999931</v>
      </c>
      <c r="D42" s="2">
        <f t="shared" si="2"/>
        <v>16.121379999999995</v>
      </c>
      <c r="E42" s="5">
        <f t="shared" si="3"/>
        <v>87.818783994830156</v>
      </c>
      <c r="F42" s="5">
        <f t="shared" si="4"/>
        <v>84.668182375730922</v>
      </c>
      <c r="G42" s="4">
        <f t="shared" si="0"/>
        <v>0.17949202118317475</v>
      </c>
      <c r="H42" s="4">
        <f t="shared" si="5"/>
        <v>3.97789269569453E-2</v>
      </c>
      <c r="I42" s="4">
        <f t="shared" si="9"/>
        <v>0.64525100800866209</v>
      </c>
      <c r="J42" s="4">
        <f t="shared" si="6"/>
        <v>30.301718816606535</v>
      </c>
      <c r="K42" s="4">
        <f t="shared" si="7"/>
        <v>134.53963154573302</v>
      </c>
      <c r="L42" s="4">
        <f t="shared" si="8"/>
        <v>1.2053698594756863</v>
      </c>
    </row>
    <row r="43" spans="2:12" x14ac:dyDescent="0.3">
      <c r="B43" s="2">
        <v>18</v>
      </c>
      <c r="C43" s="2">
        <f t="shared" si="1"/>
        <v>0.75703999999999927</v>
      </c>
      <c r="D43" s="2">
        <f t="shared" si="2"/>
        <v>16.128519999999995</v>
      </c>
      <c r="E43" s="5">
        <f t="shared" si="3"/>
        <v>86.218852372397805</v>
      </c>
      <c r="F43" s="5">
        <f t="shared" si="4"/>
        <v>82.695680344365769</v>
      </c>
      <c r="G43" s="4">
        <f t="shared" si="0"/>
        <v>0.1785635935165539</v>
      </c>
      <c r="H43" s="4">
        <f t="shared" si="5"/>
        <v>3.9985754427248721E-2</v>
      </c>
      <c r="I43" s="4">
        <f t="shared" si="9"/>
        <v>0.68523676243591081</v>
      </c>
      <c r="J43" s="4">
        <f t="shared" si="6"/>
        <v>30.590645023989708</v>
      </c>
      <c r="K43" s="4">
        <f t="shared" si="7"/>
        <v>135.82246390651432</v>
      </c>
      <c r="L43" s="4">
        <f t="shared" si="8"/>
        <v>1.2231900197003904</v>
      </c>
    </row>
    <row r="44" spans="2:12" x14ac:dyDescent="0.3">
      <c r="B44" s="2">
        <v>19</v>
      </c>
      <c r="C44" s="2">
        <f t="shared" si="1"/>
        <v>0.77131999999999923</v>
      </c>
      <c r="D44" s="2">
        <f t="shared" si="2"/>
        <v>16.135659999999994</v>
      </c>
      <c r="E44" s="5">
        <f t="shared" si="3"/>
        <v>84.67816211170468</v>
      </c>
      <c r="F44" s="5">
        <f t="shared" si="4"/>
        <v>80.805945972598096</v>
      </c>
      <c r="G44" s="4">
        <f t="shared" si="0"/>
        <v>0.17765777803040364</v>
      </c>
      <c r="H44" s="4">
        <f t="shared" si="5"/>
        <v>4.0189627941750322E-2</v>
      </c>
      <c r="I44" s="4">
        <f t="shared" si="9"/>
        <v>0.7254263903776611</v>
      </c>
      <c r="J44" s="4">
        <f t="shared" si="6"/>
        <v>30.873037912944451</v>
      </c>
      <c r="K44" s="4">
        <f t="shared" si="7"/>
        <v>137.07628833347337</v>
      </c>
      <c r="L44" s="4">
        <f t="shared" si="8"/>
        <v>1.2407759071527893</v>
      </c>
    </row>
    <row r="45" spans="2:12" x14ac:dyDescent="0.3">
      <c r="B45" s="2">
        <v>20</v>
      </c>
      <c r="C45" s="2">
        <f t="shared" si="1"/>
        <v>0.78559999999999919</v>
      </c>
      <c r="D45" s="2">
        <f t="shared" si="2"/>
        <v>16.142799999999994</v>
      </c>
      <c r="E45" s="5">
        <f t="shared" si="3"/>
        <v>83.193482688391086</v>
      </c>
      <c r="F45" s="5">
        <f t="shared" si="4"/>
        <v>78.994062552255102</v>
      </c>
      <c r="G45" s="4">
        <f t="shared" si="0"/>
        <v>0.17677362784513728</v>
      </c>
      <c r="H45" s="4">
        <f t="shared" si="5"/>
        <v>4.0390640204855617E-2</v>
      </c>
      <c r="I45" s="4">
        <f t="shared" si="9"/>
        <v>0.76581703058251671</v>
      </c>
      <c r="J45" s="4">
        <f t="shared" si="6"/>
        <v>31.148954526504298</v>
      </c>
      <c r="K45" s="4">
        <f t="shared" si="7"/>
        <v>138.3013580976791</v>
      </c>
      <c r="L45" s="4">
        <f t="shared" si="8"/>
        <v>1.2581262150374439</v>
      </c>
    </row>
    <row r="46" spans="2:12" x14ac:dyDescent="0.3">
      <c r="B46" s="2">
        <v>21</v>
      </c>
      <c r="C46" s="2">
        <f t="shared" si="1"/>
        <v>0.79987999999999915</v>
      </c>
      <c r="D46" s="2">
        <f t="shared" si="2"/>
        <v>16.149939999999994</v>
      </c>
      <c r="E46" s="5">
        <f t="shared" si="3"/>
        <v>81.761814272140882</v>
      </c>
      <c r="F46" s="5">
        <f t="shared" si="4"/>
        <v>77.255487941048898</v>
      </c>
      <c r="G46" s="4">
        <f t="shared" si="0"/>
        <v>0.17591025198103158</v>
      </c>
      <c r="H46" s="4">
        <f t="shared" si="5"/>
        <v>4.0588879383618263E-2</v>
      </c>
      <c r="I46" s="4">
        <f t="shared" si="9"/>
        <v>0.80640590996613493</v>
      </c>
      <c r="J46" s="4">
        <f t="shared" si="6"/>
        <v>31.418449485567663</v>
      </c>
      <c r="K46" s="4">
        <f t="shared" si="7"/>
        <v>139.49791571592044</v>
      </c>
      <c r="L46" s="4">
        <f t="shared" si="8"/>
        <v>1.2752396565900093</v>
      </c>
    </row>
    <row r="47" spans="2:12" x14ac:dyDescent="0.3">
      <c r="B47" s="2">
        <v>22</v>
      </c>
      <c r="C47" s="2">
        <f t="shared" si="1"/>
        <v>0.81415999999999911</v>
      </c>
      <c r="D47" s="2">
        <f t="shared" si="2"/>
        <v>16.157079999999993</v>
      </c>
      <c r="E47" s="5">
        <f t="shared" si="3"/>
        <v>80.380367495332692</v>
      </c>
      <c r="F47" s="5">
        <f t="shared" si="4"/>
        <v>75.58601996768634</v>
      </c>
      <c r="G47" s="4">
        <f t="shared" si="0"/>
        <v>0.17506681113059738</v>
      </c>
      <c r="H47" s="4">
        <f t="shared" si="5"/>
        <v>4.0784429406631774E-2</v>
      </c>
      <c r="I47" s="4">
        <f t="shared" si="9"/>
        <v>0.84719033937276667</v>
      </c>
      <c r="J47" s="4">
        <f t="shared" si="6"/>
        <v>31.681575132002756</v>
      </c>
      <c r="K47" s="4">
        <f t="shared" si="7"/>
        <v>140.66619358609225</v>
      </c>
      <c r="L47" s="4">
        <f t="shared" si="8"/>
        <v>1.2921149644620671</v>
      </c>
    </row>
    <row r="48" spans="2:12" x14ac:dyDescent="0.3">
      <c r="B48" s="2">
        <v>23</v>
      </c>
      <c r="C48" s="2">
        <f t="shared" si="1"/>
        <v>0.82843999999999907</v>
      </c>
      <c r="D48" s="2">
        <f t="shared" si="2"/>
        <v>16.164219999999993</v>
      </c>
      <c r="E48" s="5">
        <f t="shared" si="3"/>
        <v>79.046545314084341</v>
      </c>
      <c r="F48" s="5">
        <f t="shared" si="4"/>
        <v>73.981765572373646</v>
      </c>
      <c r="G48" s="4">
        <f t="shared" si="0"/>
        <v>0.17424251381843539</v>
      </c>
      <c r="H48" s="4">
        <f t="shared" si="5"/>
        <v>4.0977370238356563E-2</v>
      </c>
      <c r="I48" s="4">
        <f t="shared" si="9"/>
        <v>0.88816770961112324</v>
      </c>
      <c r="J48" s="4">
        <f t="shared" si="6"/>
        <v>31.938381660967476</v>
      </c>
      <c r="K48" s="4">
        <f t="shared" si="7"/>
        <v>141.80641457469559</v>
      </c>
      <c r="L48" s="4">
        <f t="shared" si="8"/>
        <v>1.3087508901354017</v>
      </c>
    </row>
    <row r="49" spans="2:12" x14ac:dyDescent="0.3">
      <c r="B49" s="2">
        <v>24</v>
      </c>
      <c r="C49" s="2">
        <f t="shared" si="1"/>
        <v>0.84271999999999903</v>
      </c>
      <c r="D49" s="2">
        <f t="shared" si="2"/>
        <v>16.171359999999993</v>
      </c>
      <c r="E49" s="5">
        <f t="shared" si="3"/>
        <v>77.757926713499188</v>
      </c>
      <c r="F49" s="5">
        <f t="shared" si="4"/>
        <v>72.43911322303974</v>
      </c>
      <c r="G49" s="4">
        <f t="shared" si="0"/>
        <v>0.17343661290706197</v>
      </c>
      <c r="H49" s="4">
        <f t="shared" si="5"/>
        <v>4.1167778131287878E-2</v>
      </c>
      <c r="I49" s="4">
        <f t="shared" si="9"/>
        <v>0.92933548774241115</v>
      </c>
      <c r="J49" s="4">
        <f t="shared" si="6"/>
        <v>32.188917243427575</v>
      </c>
      <c r="K49" s="4">
        <f t="shared" si="7"/>
        <v>142.91879256081845</v>
      </c>
      <c r="L49" s="4">
        <f t="shared" si="8"/>
        <v>1.3251462033638131</v>
      </c>
    </row>
    <row r="50" spans="2:12" x14ac:dyDescent="0.3">
      <c r="B50" s="2">
        <v>25</v>
      </c>
      <c r="C50" s="2">
        <f t="shared" si="1"/>
        <v>0.85699999999999898</v>
      </c>
      <c r="D50" s="2">
        <f t="shared" si="2"/>
        <v>16.178499999999993</v>
      </c>
      <c r="E50" s="5">
        <f t="shared" si="3"/>
        <v>76.512252042007063</v>
      </c>
      <c r="F50" s="5">
        <f t="shared" si="4"/>
        <v>70.954708210871289</v>
      </c>
      <c r="G50" s="4">
        <f t="shared" si="0"/>
        <v>0.17264840241225851</v>
      </c>
      <c r="H50" s="4">
        <f t="shared" si="5"/>
        <v>4.135572585809822E-2</v>
      </c>
      <c r="I50" s="4">
        <f t="shared" si="9"/>
        <v>0.97069121360050936</v>
      </c>
      <c r="J50" s="4">
        <f t="shared" si="6"/>
        <v>32.433228139751392</v>
      </c>
      <c r="K50" s="4">
        <f t="shared" si="7"/>
        <v>144.0035329404962</v>
      </c>
      <c r="L50" s="4">
        <f t="shared" si="8"/>
        <v>1.3412996916407156</v>
      </c>
    </row>
    <row r="51" spans="2:12" x14ac:dyDescent="0.3">
      <c r="B51" s="2">
        <v>26</v>
      </c>
      <c r="C51" s="2">
        <f t="shared" si="1"/>
        <v>0.87127999999999894</v>
      </c>
      <c r="D51" s="2">
        <f t="shared" si="2"/>
        <v>16.185639999999992</v>
      </c>
      <c r="E51" s="5">
        <f t="shared" si="3"/>
        <v>75.307409787898322</v>
      </c>
      <c r="F51" s="5">
        <f t="shared" si="4"/>
        <v>69.525430482423332</v>
      </c>
      <c r="G51" s="4">
        <f t="shared" si="0"/>
        <v>0.17187721459587602</v>
      </c>
      <c r="H51" s="4">
        <f t="shared" si="5"/>
        <v>4.1541282925650243E-2</v>
      </c>
      <c r="I51" s="4">
        <f t="shared" si="9"/>
        <v>1.0122324965261595</v>
      </c>
      <c r="J51" s="4">
        <f t="shared" si="6"/>
        <v>32.671358805167969</v>
      </c>
      <c r="K51" s="4">
        <f t="shared" si="7"/>
        <v>145.06083309494579</v>
      </c>
      <c r="L51" s="4">
        <f t="shared" si="8"/>
        <v>1.357210159690917</v>
      </c>
    </row>
    <row r="52" spans="2:12" x14ac:dyDescent="0.3">
      <c r="B52" s="2">
        <v>27</v>
      </c>
      <c r="C52" s="2">
        <f t="shared" si="1"/>
        <v>0.8855599999999989</v>
      </c>
      <c r="D52" s="2">
        <f t="shared" si="2"/>
        <v>16.192779999999992</v>
      </c>
      <c r="E52" s="5">
        <f t="shared" si="3"/>
        <v>74.141424635259085</v>
      </c>
      <c r="F52" s="5">
        <f t="shared" si="4"/>
        <v>68.148374711225486</v>
      </c>
      <c r="G52" s="4">
        <f t="shared" si="0"/>
        <v>0.1711224173078158</v>
      </c>
      <c r="H52" s="4">
        <f t="shared" si="5"/>
        <v>4.1724515772568367E-2</v>
      </c>
      <c r="I52" s="4">
        <f t="shared" si="9"/>
        <v>1.0539570122987278</v>
      </c>
      <c r="J52" s="4">
        <f t="shared" si="6"/>
        <v>32.903351987794494</v>
      </c>
      <c r="K52" s="4">
        <f t="shared" si="7"/>
        <v>146.09088282580757</v>
      </c>
      <c r="L52" s="4">
        <f t="shared" si="8"/>
        <v>1.3728764289851001</v>
      </c>
    </row>
    <row r="53" spans="2:12" x14ac:dyDescent="0.3">
      <c r="B53" s="2">
        <v>28</v>
      </c>
      <c r="C53" s="2">
        <f t="shared" si="1"/>
        <v>0.89983999999999886</v>
      </c>
      <c r="D53" s="2">
        <f t="shared" si="2"/>
        <v>16.199919999999992</v>
      </c>
      <c r="E53" s="5">
        <f t="shared" si="3"/>
        <v>73.01244665718356</v>
      </c>
      <c r="F53" s="5">
        <f t="shared" si="4"/>
        <v>66.820832350749399</v>
      </c>
      <c r="G53" s="4">
        <f t="shared" si="0"/>
        <v>0.1703834115521923</v>
      </c>
      <c r="H53" s="4">
        <f t="shared" si="5"/>
        <v>4.1905487951876361E-2</v>
      </c>
      <c r="I53" s="4">
        <f t="shared" si="9"/>
        <v>1.0958625002506042</v>
      </c>
      <c r="J53" s="4">
        <f t="shared" si="6"/>
        <v>33.129248819866312</v>
      </c>
      <c r="K53" s="4">
        <f t="shared" si="7"/>
        <v>147.09386476020643</v>
      </c>
      <c r="L53" s="4">
        <f t="shared" si="8"/>
        <v>1.388297337275622</v>
      </c>
    </row>
    <row r="54" spans="2:12" x14ac:dyDescent="0.3">
      <c r="B54" s="2">
        <v>29</v>
      </c>
      <c r="C54" s="2">
        <f t="shared" si="1"/>
        <v>0.91411999999999882</v>
      </c>
      <c r="D54" s="2">
        <f t="shared" si="2"/>
        <v>16.207059999999991</v>
      </c>
      <c r="E54" s="5">
        <f t="shared" si="3"/>
        <v>71.918741521900898</v>
      </c>
      <c r="F54" s="5">
        <f t="shared" si="4"/>
        <v>65.540275443919782</v>
      </c>
      <c r="G54" s="4">
        <f t="shared" si="0"/>
        <v>0.16965962925554703</v>
      </c>
      <c r="H54" s="4">
        <f t="shared" si="5"/>
        <v>4.208426030004745E-2</v>
      </c>
      <c r="I54" s="4">
        <f t="shared" si="9"/>
        <v>1.1379467605506517</v>
      </c>
      <c r="J54" s="4">
        <f t="shared" si="6"/>
        <v>33.349088902740988</v>
      </c>
      <c r="K54" s="4">
        <f t="shared" si="7"/>
        <v>148.06995472816999</v>
      </c>
      <c r="L54" s="4">
        <f t="shared" si="8"/>
        <v>1.4034717381523756</v>
      </c>
    </row>
    <row r="55" spans="2:12" x14ac:dyDescent="0.3">
      <c r="B55" s="2">
        <v>30</v>
      </c>
      <c r="C55" s="2">
        <f t="shared" si="1"/>
        <v>0.92839999999999878</v>
      </c>
      <c r="D55" s="2">
        <f t="shared" si="2"/>
        <v>16.214199999999991</v>
      </c>
      <c r="E55" s="5">
        <f t="shared" si="3"/>
        <v>70.858681602757486</v>
      </c>
      <c r="F55" s="5">
        <f t="shared" si="4"/>
        <v>64.304341992919618</v>
      </c>
      <c r="G55" s="4">
        <f t="shared" si="0"/>
        <v>0.16895053121747508</v>
      </c>
      <c r="H55" s="4">
        <f t="shared" si="5"/>
        <v>4.2260891093673425E-2</v>
      </c>
      <c r="I55" s="4">
        <f t="shared" si="9"/>
        <v>1.1802076516443252</v>
      </c>
      <c r="J55" s="4">
        <f t="shared" si="6"/>
        <v>33.562910386191199</v>
      </c>
      <c r="K55" s="4">
        <f t="shared" si="7"/>
        <v>149.01932211468895</v>
      </c>
      <c r="L55" s="4">
        <f t="shared" si="8"/>
        <v>1.418398500617547</v>
      </c>
    </row>
    <row r="56" spans="2:12" x14ac:dyDescent="0.3">
      <c r="B56" s="2">
        <v>31</v>
      </c>
      <c r="C56" s="2">
        <f t="shared" si="1"/>
        <v>0.94267999999999874</v>
      </c>
      <c r="D56" s="2">
        <f t="shared" si="2"/>
        <v>16.221339999999991</v>
      </c>
      <c r="E56" s="5">
        <f t="shared" si="3"/>
        <v>69.830737896210849</v>
      </c>
      <c r="F56" s="5">
        <f t="shared" si="4"/>
        <v>63.110822717599895</v>
      </c>
      <c r="G56" s="4">
        <f t="shared" si="0"/>
        <v>0.1682556052262025</v>
      </c>
      <c r="H56" s="4">
        <f t="shared" si="5"/>
        <v>4.2435436194835738E-2</v>
      </c>
      <c r="I56" s="4">
        <f t="shared" si="9"/>
        <v>1.222643087839161</v>
      </c>
      <c r="J56" s="4">
        <f t="shared" si="6"/>
        <v>33.770750042450508</v>
      </c>
      <c r="K56" s="4">
        <f t="shared" si="7"/>
        <v>149.94213018848026</v>
      </c>
      <c r="L56" s="4">
        <f t="shared" si="8"/>
        <v>1.4330765086781549</v>
      </c>
    </row>
    <row r="57" spans="2:12" x14ac:dyDescent="0.3">
      <c r="B57" s="2">
        <v>32</v>
      </c>
      <c r="C57" s="2">
        <f t="shared" si="1"/>
        <v>0.9569599999999987</v>
      </c>
      <c r="D57" s="2">
        <f t="shared" si="2"/>
        <v>16.22847999999999</v>
      </c>
      <c r="E57" s="5">
        <f t="shared" si="3"/>
        <v>68.833472663434264</v>
      </c>
      <c r="F57" s="5">
        <f t="shared" si="4"/>
        <v>61.957649051976425</v>
      </c>
      <c r="G57" s="4">
        <f t="shared" si="0"/>
        <v>0.16757436432356582</v>
      </c>
      <c r="H57" s="4">
        <f t="shared" si="5"/>
        <v>4.2607949186150636E-2</v>
      </c>
      <c r="I57" s="4">
        <f t="shared" si="9"/>
        <v>1.2652510370253116</v>
      </c>
      <c r="J57" s="4">
        <f t="shared" si="6"/>
        <v>33.972643335434348</v>
      </c>
      <c r="K57" s="4">
        <f t="shared" si="7"/>
        <v>150.83853640932853</v>
      </c>
      <c r="L57" s="4">
        <f t="shared" si="8"/>
        <v>1.4475046609554059</v>
      </c>
    </row>
    <row r="58" spans="2:12" x14ac:dyDescent="0.3">
      <c r="B58" s="2">
        <v>33</v>
      </c>
      <c r="C58" s="2">
        <f t="shared" si="1"/>
        <v>0.97123999999999866</v>
      </c>
      <c r="D58" s="2">
        <f t="shared" si="2"/>
        <v>16.23561999999999</v>
      </c>
      <c r="E58" s="5">
        <f t="shared" si="3"/>
        <v>67.865532721057662</v>
      </c>
      <c r="F58" s="5">
        <f t="shared" si="4"/>
        <v>60.842882246576046</v>
      </c>
      <c r="G58" s="4">
        <f t="shared" ref="G58:G75" si="10">$G$4*F58^$G$5</f>
        <v>0.1669063452055127</v>
      </c>
      <c r="H58" s="4">
        <f t="shared" si="5"/>
        <v>4.2778481496365317E-2</v>
      </c>
      <c r="I58" s="4">
        <f t="shared" si="9"/>
        <v>1.308029518521677</v>
      </c>
      <c r="J58" s="4">
        <f t="shared" si="6"/>
        <v>34.168624485515643</v>
      </c>
      <c r="K58" s="4">
        <f t="shared" si="7"/>
        <v>151.70869271568947</v>
      </c>
      <c r="L58" s="4">
        <f t="shared" si="8"/>
        <v>1.4616818703098859</v>
      </c>
    </row>
    <row r="59" spans="2:12" x14ac:dyDescent="0.3">
      <c r="B59" s="2">
        <v>34</v>
      </c>
      <c r="C59" s="2">
        <f t="shared" si="1"/>
        <v>0.98551999999999862</v>
      </c>
      <c r="D59" s="2">
        <f t="shared" si="2"/>
        <v>16.24275999999999</v>
      </c>
      <c r="E59" s="5">
        <f t="shared" si="3"/>
        <v>66.925643315204198</v>
      </c>
      <c r="F59" s="5">
        <f t="shared" si="4"/>
        <v>59.764703460231551</v>
      </c>
      <c r="G59" s="4">
        <f t="shared" si="10"/>
        <v>0.16625110674572163</v>
      </c>
      <c r="H59" s="4">
        <f t="shared" si="5"/>
        <v>4.2947082517294156E-2</v>
      </c>
      <c r="I59" s="4">
        <f t="shared" si="9"/>
        <v>1.3509766010389712</v>
      </c>
      <c r="J59" s="4">
        <f t="shared" si="6"/>
        <v>34.35872653020246</v>
      </c>
      <c r="K59" s="4">
        <f t="shared" si="7"/>
        <v>152.55274579409894</v>
      </c>
      <c r="L59" s="4">
        <f t="shared" si="8"/>
        <v>1.4756070634817491</v>
      </c>
    </row>
    <row r="60" spans="2:12" x14ac:dyDescent="0.3">
      <c r="B60" s="2">
        <v>35</v>
      </c>
      <c r="C60" s="2">
        <f t="shared" si="1"/>
        <v>0.99979999999999858</v>
      </c>
      <c r="D60" s="2">
        <f t="shared" si="2"/>
        <v>16.24989999999999</v>
      </c>
      <c r="E60" s="5">
        <f t="shared" si="3"/>
        <v>66.01260252050416</v>
      </c>
      <c r="F60" s="5">
        <f t="shared" si="4"/>
        <v>58.721404738658933</v>
      </c>
      <c r="G60" s="4">
        <f t="shared" si="10"/>
        <v>0.16560822863123126</v>
      </c>
      <c r="H60" s="4">
        <f t="shared" si="5"/>
        <v>4.3113799712809008E-2</v>
      </c>
      <c r="I60" s="4">
        <f t="shared" si="9"/>
        <v>1.3940904007517803</v>
      </c>
      <c r="J60" s="4">
        <f t="shared" si="6"/>
        <v>34.542981381031332</v>
      </c>
      <c r="K60" s="4">
        <f t="shared" si="7"/>
        <v>153.37083733177911</v>
      </c>
      <c r="L60" s="4">
        <f t="shared" si="8"/>
        <v>1.4892791807450756</v>
      </c>
    </row>
    <row r="61" spans="2:12" x14ac:dyDescent="0.3">
      <c r="B61" s="2">
        <v>36</v>
      </c>
      <c r="C61" s="2">
        <f t="shared" si="1"/>
        <v>1.0140799999999985</v>
      </c>
      <c r="D61" s="2">
        <f t="shared" si="2"/>
        <v>16.257039999999989</v>
      </c>
      <c r="E61" s="5">
        <f t="shared" si="3"/>
        <v>65.125276112338341</v>
      </c>
      <c r="F61" s="5">
        <f t="shared" si="4"/>
        <v>57.711380789097909</v>
      </c>
      <c r="G61" s="4">
        <f t="shared" si="10"/>
        <v>0.16497731010011696</v>
      </c>
      <c r="H61" s="4">
        <f t="shared" si="5"/>
        <v>4.3278678720528638E-2</v>
      </c>
      <c r="I61" s="4">
        <f t="shared" si="9"/>
        <v>1.4373690794723089</v>
      </c>
      <c r="J61" s="4">
        <f t="shared" si="6"/>
        <v>34.721419876962614</v>
      </c>
      <c r="K61" s="4">
        <f t="shared" si="7"/>
        <v>154.16310425371401</v>
      </c>
      <c r="L61" s="4">
        <f t="shared" si="8"/>
        <v>1.502697175575642</v>
      </c>
    </row>
    <row r="62" spans="2:12" x14ac:dyDescent="0.3">
      <c r="B62" s="2">
        <v>37</v>
      </c>
      <c r="C62" s="2">
        <f t="shared" si="1"/>
        <v>1.0283599999999986</v>
      </c>
      <c r="D62" s="2">
        <f t="shared" si="2"/>
        <v>16.264179999999989</v>
      </c>
      <c r="E62" s="5">
        <f t="shared" si="3"/>
        <v>64.262592866311451</v>
      </c>
      <c r="F62" s="5">
        <f t="shared" si="4"/>
        <v>56.733121470706664</v>
      </c>
      <c r="G62" s="4">
        <f t="shared" si="10"/>
        <v>0.16435796877226577</v>
      </c>
      <c r="H62" s="4">
        <f t="shared" si="5"/>
        <v>4.3441763446791945E-2</v>
      </c>
      <c r="I62" s="4">
        <f t="shared" si="9"/>
        <v>1.4808108429191007</v>
      </c>
      <c r="J62" s="4">
        <f t="shared" si="6"/>
        <v>34.89407183453887</v>
      </c>
      <c r="K62" s="4">
        <f t="shared" si="7"/>
        <v>154.92967894535261</v>
      </c>
      <c r="L62" s="4">
        <f t="shared" si="8"/>
        <v>1.5158600143314029</v>
      </c>
    </row>
    <row r="63" spans="2:12" x14ac:dyDescent="0.3">
      <c r="B63" s="2">
        <v>38</v>
      </c>
      <c r="C63" s="2">
        <f t="shared" si="1"/>
        <v>1.0426399999999987</v>
      </c>
      <c r="D63" s="2">
        <f t="shared" si="2"/>
        <v>16.271319999999989</v>
      </c>
      <c r="E63" s="5">
        <f t="shared" si="3"/>
        <v>63.423540243996044</v>
      </c>
      <c r="F63" s="5">
        <f t="shared" si="4"/>
        <v>55.785204929490689</v>
      </c>
      <c r="G63" s="4">
        <f t="shared" si="10"/>
        <v>0.16374983956519595</v>
      </c>
      <c r="H63" s="4">
        <f t="shared" si="5"/>
        <v>4.3603096155445338E-2</v>
      </c>
      <c r="I63" s="4">
        <f t="shared" si="9"/>
        <v>1.5244139390745461</v>
      </c>
      <c r="J63" s="4">
        <f t="shared" si="6"/>
        <v>35.060966095044741</v>
      </c>
      <c r="K63" s="4">
        <f t="shared" si="7"/>
        <v>155.67068946199865</v>
      </c>
      <c r="L63" s="4">
        <f t="shared" si="8"/>
        <v>1.5287666759450447</v>
      </c>
    </row>
    <row r="64" spans="2:12" x14ac:dyDescent="0.3">
      <c r="B64" s="2">
        <v>39</v>
      </c>
      <c r="C64" s="2">
        <f t="shared" si="1"/>
        <v>1.0569199999999987</v>
      </c>
      <c r="D64" s="2">
        <f t="shared" si="2"/>
        <v>16.278459999999988</v>
      </c>
      <c r="E64" s="5">
        <f t="shared" si="3"/>
        <v>62.607160428414673</v>
      </c>
      <c r="F64" s="5">
        <f t="shared" si="4"/>
        <v>54.866291314495946</v>
      </c>
      <c r="G64" s="4">
        <f t="shared" si="10"/>
        <v>0.16315257368766503</v>
      </c>
      <c r="H64" s="4">
        <f t="shared" si="5"/>
        <v>4.3762717550926374E-2</v>
      </c>
      <c r="I64" s="4">
        <f t="shared" si="9"/>
        <v>1.5681766566254725</v>
      </c>
      <c r="J64" s="4">
        <f t="shared" si="6"/>
        <v>35.222130568884474</v>
      </c>
      <c r="K64" s="4">
        <f t="shared" si="7"/>
        <v>156.38625972584708</v>
      </c>
      <c r="L64" s="4">
        <f t="shared" si="8"/>
        <v>1.541416151627941</v>
      </c>
    </row>
    <row r="65" spans="1:12" x14ac:dyDescent="0.3">
      <c r="B65" s="2">
        <v>40</v>
      </c>
      <c r="C65" s="2">
        <f t="shared" si="1"/>
        <v>1.0711999999999988</v>
      </c>
      <c r="D65" s="2">
        <f t="shared" si="2"/>
        <v>16.285599999999988</v>
      </c>
      <c r="E65" s="5">
        <f t="shared" si="3"/>
        <v>61.812546676624365</v>
      </c>
      <c r="F65" s="5">
        <f t="shared" si="4"/>
        <v>53.975117018969826</v>
      </c>
      <c r="G65" s="4">
        <f t="shared" si="10"/>
        <v>0.16256583770451963</v>
      </c>
      <c r="H65" s="4">
        <f t="shared" si="5"/>
        <v>4.39206668560813E-2</v>
      </c>
      <c r="I65" s="4">
        <f t="shared" si="9"/>
        <v>1.6120973234815537</v>
      </c>
      <c r="J65" s="4">
        <f t="shared" si="6"/>
        <v>35.377592277377964</v>
      </c>
      <c r="K65" s="4">
        <f t="shared" si="7"/>
        <v>157.07650971155817</v>
      </c>
      <c r="L65" s="4">
        <f t="shared" si="8"/>
        <v>1.5538074445849921</v>
      </c>
    </row>
    <row r="66" spans="1:12" x14ac:dyDescent="0.3">
      <c r="B66" s="2">
        <v>41</v>
      </c>
      <c r="C66" s="2">
        <f t="shared" si="1"/>
        <v>1.0854799999999989</v>
      </c>
      <c r="D66" s="2">
        <f t="shared" si="2"/>
        <v>16.292739999999988</v>
      </c>
      <c r="E66" s="5">
        <f t="shared" si="3"/>
        <v>61.038839960201948</v>
      </c>
      <c r="F66" s="5">
        <f t="shared" si="4"/>
        <v>53.110489396310712</v>
      </c>
      <c r="G66" s="4">
        <f t="shared" si="10"/>
        <v>0.16198931266686731</v>
      </c>
      <c r="H66" s="4">
        <f t="shared" si="5"/>
        <v>4.4076981885116523E-2</v>
      </c>
      <c r="I66" s="4">
        <f t="shared" si="9"/>
        <v>1.6561743053666702</v>
      </c>
      <c r="J66" s="4">
        <f t="shared" si="6"/>
        <v>35.527377392156438</v>
      </c>
      <c r="K66" s="4">
        <f t="shared" si="7"/>
        <v>157.7415556211746</v>
      </c>
      <c r="L66" s="4">
        <f t="shared" si="8"/>
        <v>1.5659395697397775</v>
      </c>
    </row>
    <row r="67" spans="1:12" x14ac:dyDescent="0.3">
      <c r="B67" s="2">
        <v>42</v>
      </c>
      <c r="C67" s="2">
        <f t="shared" si="1"/>
        <v>1.099759999999999</v>
      </c>
      <c r="D67" s="2">
        <f t="shared" si="2"/>
        <v>16.299879999999987</v>
      </c>
      <c r="E67" s="5">
        <f t="shared" si="3"/>
        <v>60.285225867461996</v>
      </c>
      <c r="F67" s="5">
        <f t="shared" si="4"/>
        <v>52.271281906013542</v>
      </c>
      <c r="G67" s="4">
        <f t="shared" si="10"/>
        <v>0.16142269330221665</v>
      </c>
      <c r="H67" s="4">
        <f t="shared" si="5"/>
        <v>4.4231699112047593E-2</v>
      </c>
      <c r="I67" s="4">
        <f t="shared" si="9"/>
        <v>1.7004060044787177</v>
      </c>
      <c r="J67" s="4">
        <f t="shared" si="6"/>
        <v>35.671511272325574</v>
      </c>
      <c r="K67" s="4">
        <f t="shared" si="7"/>
        <v>158.38151004912555</v>
      </c>
      <c r="L67" s="4">
        <f t="shared" si="8"/>
        <v>1.5778115534695187</v>
      </c>
    </row>
    <row r="68" spans="1:12" x14ac:dyDescent="0.3">
      <c r="B68" s="2">
        <v>43</v>
      </c>
      <c r="C68" s="2">
        <f t="shared" si="1"/>
        <v>1.114039999999999</v>
      </c>
      <c r="D68" s="2">
        <f t="shared" si="2"/>
        <v>16.307019999999987</v>
      </c>
      <c r="E68" s="5">
        <f t="shared" si="3"/>
        <v>59.550931743923016</v>
      </c>
      <c r="F68" s="5">
        <f t="shared" si="4"/>
        <v>51.45642964956285</v>
      </c>
      <c r="G68" s="4">
        <f t="shared" si="10"/>
        <v>0.16086568725973163</v>
      </c>
      <c r="H68" s="4">
        <f t="shared" si="5"/>
        <v>4.4384853734978524E-2</v>
      </c>
      <c r="I68" s="4">
        <f t="shared" si="9"/>
        <v>1.7447908582136962</v>
      </c>
      <c r="J68" s="4">
        <f t="shared" si="6"/>
        <v>35.810018499549436</v>
      </c>
      <c r="K68" s="4">
        <f t="shared" si="7"/>
        <v>158.99648213799952</v>
      </c>
      <c r="L68" s="4">
        <f t="shared" si="8"/>
        <v>1.5894224333493769</v>
      </c>
    </row>
    <row r="69" spans="1:12" x14ac:dyDescent="0.3">
      <c r="B69" s="2">
        <v>44</v>
      </c>
      <c r="C69" s="2">
        <f t="shared" si="1"/>
        <v>1.1283199999999991</v>
      </c>
      <c r="D69" s="2">
        <f t="shared" si="2"/>
        <v>16.314159999999987</v>
      </c>
      <c r="E69" s="5">
        <f t="shared" si="3"/>
        <v>58.83522404991492</v>
      </c>
      <c r="F69" s="5">
        <f t="shared" si="4"/>
        <v>50.664925260414712</v>
      </c>
      <c r="G69" s="4">
        <f t="shared" si="10"/>
        <v>0.16031801440619742</v>
      </c>
      <c r="H69" s="4">
        <f t="shared" si="5"/>
        <v>4.4536479736515346E-2</v>
      </c>
      <c r="I69" s="4">
        <f t="shared" si="9"/>
        <v>1.7893273379502115</v>
      </c>
      <c r="J69" s="4">
        <f t="shared" si="6"/>
        <v>35.942922911196831</v>
      </c>
      <c r="K69" s="4">
        <f t="shared" si="7"/>
        <v>159.58657772571394</v>
      </c>
      <c r="L69" s="4">
        <f t="shared" si="8"/>
        <v>1.6007712579056508</v>
      </c>
    </row>
    <row r="70" spans="1:12" x14ac:dyDescent="0.3">
      <c r="B70" s="2">
        <v>45</v>
      </c>
      <c r="C70" s="2">
        <f t="shared" si="1"/>
        <v>1.1425999999999992</v>
      </c>
      <c r="D70" s="2">
        <f t="shared" si="2"/>
        <v>16.321299999999987</v>
      </c>
      <c r="E70" s="5">
        <f t="shared" si="3"/>
        <v>58.137405916331168</v>
      </c>
      <c r="F70" s="5">
        <f t="shared" si="4"/>
        <v>49.895815115911383</v>
      </c>
      <c r="G70" s="4">
        <f t="shared" si="10"/>
        <v>0.15977940616869565</v>
      </c>
      <c r="H70" s="4">
        <f t="shared" si="5"/>
        <v>4.4686609940592405E-2</v>
      </c>
      <c r="I70" s="4">
        <f t="shared" si="9"/>
        <v>1.834013947890804</v>
      </c>
      <c r="J70" s="4">
        <f t="shared" si="6"/>
        <v>36.070247631679209</v>
      </c>
      <c r="K70" s="4">
        <f t="shared" si="7"/>
        <v>160.1518994846557</v>
      </c>
      <c r="L70" s="4">
        <f t="shared" si="8"/>
        <v>1.6118570863774258</v>
      </c>
    </row>
    <row r="71" spans="1:12" x14ac:dyDescent="0.3">
      <c r="B71" s="2">
        <v>46</v>
      </c>
      <c r="C71" s="2">
        <f t="shared" si="1"/>
        <v>1.1568799999999992</v>
      </c>
      <c r="D71" s="2">
        <f t="shared" si="2"/>
        <v>16.328439999999986</v>
      </c>
      <c r="E71" s="5">
        <f t="shared" si="3"/>
        <v>57.456814881405144</v>
      </c>
      <c r="F71" s="5">
        <f t="shared" si="4"/>
        <v>49.148195842255255</v>
      </c>
      <c r="G71" s="4">
        <f t="shared" si="10"/>
        <v>0.15924960492035106</v>
      </c>
      <c r="H71" s="4">
        <f t="shared" si="5"/>
        <v>4.4835276065966184E-2</v>
      </c>
      <c r="I71" s="4">
        <f t="shared" si="9"/>
        <v>1.8788492239567702</v>
      </c>
      <c r="J71" s="4">
        <f t="shared" si="6"/>
        <v>36.192015102101244</v>
      </c>
      <c r="K71" s="4">
        <f t="shared" si="7"/>
        <v>160.69254705332955</v>
      </c>
      <c r="L71" s="4">
        <f t="shared" si="8"/>
        <v>1.6226789884863266</v>
      </c>
    </row>
    <row r="72" spans="1:12" x14ac:dyDescent="0.3">
      <c r="B72" s="2">
        <v>47</v>
      </c>
      <c r="C72" s="2">
        <f t="shared" si="1"/>
        <v>1.1711599999999993</v>
      </c>
      <c r="D72" s="2">
        <f t="shared" si="2"/>
        <v>16.335579999999986</v>
      </c>
      <c r="E72" s="5">
        <f t="shared" si="3"/>
        <v>56.792820793059853</v>
      </c>
      <c r="F72" s="5">
        <f t="shared" si="4"/>
        <v>48.421211086575738</v>
      </c>
      <c r="G72" s="4">
        <f t="shared" si="10"/>
        <v>0.15872836340583338</v>
      </c>
      <c r="H72" s="4">
        <f t="shared" si="5"/>
        <v>4.4982508776610912E-2</v>
      </c>
      <c r="I72" s="4">
        <f t="shared" si="9"/>
        <v>1.9238317327333812</v>
      </c>
      <c r="J72" s="4">
        <f t="shared" si="6"/>
        <v>36.308247108333084</v>
      </c>
      <c r="K72" s="4">
        <f t="shared" si="7"/>
        <v>161.2086171609989</v>
      </c>
      <c r="L72" s="4">
        <f t="shared" si="8"/>
        <v>1.6332360442139506</v>
      </c>
    </row>
    <row r="73" spans="1:12" x14ac:dyDescent="0.3">
      <c r="B73" s="2">
        <v>48</v>
      </c>
      <c r="C73" s="2">
        <f t="shared" si="1"/>
        <v>1.1854399999999994</v>
      </c>
      <c r="D73" s="2">
        <f t="shared" si="2"/>
        <v>16.342719999999986</v>
      </c>
      <c r="E73" s="5">
        <f t="shared" si="3"/>
        <v>56.144823862869465</v>
      </c>
      <c r="F73" s="5">
        <f t="shared" si="4"/>
        <v>47.714048532710358</v>
      </c>
      <c r="G73" s="4">
        <f t="shared" si="10"/>
        <v>0.15821544420359221</v>
      </c>
      <c r="H73" s="4">
        <f t="shared" si="5"/>
        <v>4.512833772923084E-2</v>
      </c>
      <c r="I73" s="4">
        <f t="shared" si="9"/>
        <v>1.968960070462612</v>
      </c>
      <c r="J73" s="4">
        <f t="shared" si="6"/>
        <v>36.418964807607274</v>
      </c>
      <c r="K73" s="4">
        <f t="shared" si="7"/>
        <v>161.70020374577632</v>
      </c>
      <c r="L73" s="4">
        <f t="shared" si="8"/>
        <v>1.6435273435866735</v>
      </c>
    </row>
    <row r="74" spans="1:12" x14ac:dyDescent="0.3">
      <c r="B74" s="2">
        <v>49</v>
      </c>
      <c r="C74" s="2">
        <f t="shared" si="1"/>
        <v>1.1997199999999995</v>
      </c>
      <c r="D74" s="2">
        <f t="shared" si="2"/>
        <v>16.349859999999985</v>
      </c>
      <c r="E74" s="5">
        <f t="shared" si="3"/>
        <v>55.512252859000412</v>
      </c>
      <c r="F74" s="5">
        <f t="shared" si="4"/>
        <v>47.025937139619877</v>
      </c>
      <c r="G74" s="4">
        <f t="shared" si="10"/>
        <v>0.1577106192220655</v>
      </c>
      <c r="H74" s="4">
        <f t="shared" si="5"/>
        <v>4.5272791618086679E-2</v>
      </c>
      <c r="I74" s="4">
        <f t="shared" si="9"/>
        <v>2.0142328620806986</v>
      </c>
      <c r="J74" s="4">
        <f t="shared" si="6"/>
        <v>36.524188753733867</v>
      </c>
      <c r="K74" s="4">
        <f t="shared" si="7"/>
        <v>162.16739806657839</v>
      </c>
      <c r="L74" s="4">
        <f t="shared" si="8"/>
        <v>1.6535519864674584</v>
      </c>
    </row>
    <row r="75" spans="1:12" x14ac:dyDescent="0.3">
      <c r="B75" s="2">
        <v>50</v>
      </c>
      <c r="C75" s="2">
        <f t="shared" si="1"/>
        <v>1.2139999999999995</v>
      </c>
      <c r="D75" s="2">
        <f t="shared" si="2"/>
        <v>16.356999999999985</v>
      </c>
      <c r="E75" s="5">
        <f t="shared" si="3"/>
        <v>54.894563426688606</v>
      </c>
      <c r="F75" s="5">
        <f t="shared" si="4"/>
        <v>46.356144583407819</v>
      </c>
      <c r="G75" s="4">
        <f t="shared" si="10"/>
        <v>0.15721366922733945</v>
      </c>
      <c r="H75" s="4">
        <f t="shared" si="5"/>
        <v>4.541589821731825E-2</v>
      </c>
      <c r="I75" s="4">
        <f t="shared" si="9"/>
        <v>2.0596487602980167</v>
      </c>
      <c r="J75" s="4">
        <f t="shared" si="6"/>
        <v>36.62393892102174</v>
      </c>
      <c r="K75" s="4">
        <f t="shared" si="7"/>
        <v>162.61028880933654</v>
      </c>
      <c r="L75" s="4">
        <f t="shared" si="8"/>
        <v>1.6633090823544037</v>
      </c>
    </row>
    <row r="76" spans="1:12" x14ac:dyDescent="0.3">
      <c r="A76" s="1" t="s">
        <v>21</v>
      </c>
      <c r="B76" s="2">
        <v>51</v>
      </c>
      <c r="C76" s="2">
        <v>0</v>
      </c>
      <c r="D76" s="2">
        <v>0</v>
      </c>
      <c r="E76" s="5">
        <v>0</v>
      </c>
      <c r="F76" s="5">
        <v>0</v>
      </c>
      <c r="G76" s="5">
        <v>0</v>
      </c>
      <c r="H76" s="4">
        <f>H75</f>
        <v>4.541589821731825E-2</v>
      </c>
      <c r="I76" s="4">
        <f t="shared" si="9"/>
        <v>2.1050646585153348</v>
      </c>
      <c r="J76" s="2">
        <v>0</v>
      </c>
      <c r="K76" s="4">
        <f t="shared" si="7"/>
        <v>0</v>
      </c>
      <c r="L76" s="4">
        <f t="shared" si="8"/>
        <v>0</v>
      </c>
    </row>
  </sheetData>
  <mergeCells count="4">
    <mergeCell ref="A2:D2"/>
    <mergeCell ref="E2:H2"/>
    <mergeCell ref="I2:M2"/>
    <mergeCell ref="A10:D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82BB7-C480-429D-AE08-498FC212EF16}">
  <dimension ref="A2:N79"/>
  <sheetViews>
    <sheetView showGridLines="0" zoomScaleNormal="100" workbookViewId="0">
      <selection activeCell="C3" sqref="C3"/>
    </sheetView>
  </sheetViews>
  <sheetFormatPr defaultRowHeight="14.4" x14ac:dyDescent="0.3"/>
  <cols>
    <col min="1" max="1" width="14.5546875" customWidth="1"/>
    <col min="2" max="2" width="9.21875" customWidth="1"/>
    <col min="3" max="3" width="9.33203125" customWidth="1"/>
    <col min="4" max="4" width="12.44140625" customWidth="1"/>
    <col min="5" max="5" width="12.5546875" customWidth="1"/>
    <col min="6" max="6" width="10.88671875" customWidth="1"/>
    <col min="7" max="7" width="11.6640625" customWidth="1"/>
    <col min="8" max="8" width="10.5546875" customWidth="1"/>
    <col min="9" max="9" width="8.44140625" customWidth="1"/>
    <col min="10" max="10" width="10.21875" customWidth="1"/>
    <col min="11" max="11" width="9.88671875" customWidth="1"/>
    <col min="14" max="14" width="7" customWidth="1"/>
    <col min="15" max="15" width="7.88671875" customWidth="1"/>
    <col min="18" max="18" width="7.5546875" customWidth="1"/>
  </cols>
  <sheetData>
    <row r="2" spans="1:14" ht="21" x14ac:dyDescent="0.4">
      <c r="A2" s="40" t="s">
        <v>0</v>
      </c>
      <c r="B2" s="40"/>
      <c r="C2" s="40"/>
      <c r="D2" s="40"/>
      <c r="E2" s="40" t="s">
        <v>1</v>
      </c>
      <c r="F2" s="40"/>
      <c r="G2" s="40"/>
      <c r="H2" s="40"/>
      <c r="I2" s="40" t="s">
        <v>18</v>
      </c>
      <c r="J2" s="40"/>
      <c r="K2" s="40"/>
      <c r="L2" s="40"/>
      <c r="M2" s="40"/>
      <c r="N2" s="7"/>
    </row>
    <row r="3" spans="1:14" x14ac:dyDescent="0.3">
      <c r="B3" s="1" t="s">
        <v>6</v>
      </c>
      <c r="C3" s="18">
        <v>1.7549999999999999</v>
      </c>
      <c r="D3" s="3" t="s">
        <v>9</v>
      </c>
      <c r="F3" s="1" t="s">
        <v>2</v>
      </c>
      <c r="G3" s="18">
        <v>6.2E-2</v>
      </c>
      <c r="H3" t="s">
        <v>3</v>
      </c>
      <c r="K3" s="1" t="s">
        <v>19</v>
      </c>
      <c r="L3" s="8">
        <f>(C3-C4)/50</f>
        <v>1.5099999999999997E-2</v>
      </c>
      <c r="M3" t="s">
        <v>9</v>
      </c>
    </row>
    <row r="4" spans="1:14" x14ac:dyDescent="0.3">
      <c r="B4" s="1" t="s">
        <v>7</v>
      </c>
      <c r="C4" s="18">
        <v>1</v>
      </c>
      <c r="D4" s="3" t="s">
        <v>9</v>
      </c>
      <c r="F4" s="1" t="s">
        <v>4</v>
      </c>
      <c r="G4" s="18">
        <v>6.7599999999999993E-2</v>
      </c>
      <c r="H4" t="s">
        <v>35</v>
      </c>
      <c r="K4" s="1" t="s">
        <v>20</v>
      </c>
      <c r="L4" s="8">
        <f>(C9-C5)/50</f>
        <v>7.5499999999999986E-3</v>
      </c>
      <c r="M4" t="s">
        <v>9</v>
      </c>
    </row>
    <row r="5" spans="1:14" x14ac:dyDescent="0.3">
      <c r="B5" s="1" t="s">
        <v>8</v>
      </c>
      <c r="C5" s="18">
        <v>0.5</v>
      </c>
      <c r="D5" s="3" t="s">
        <v>9</v>
      </c>
      <c r="F5" s="1" t="s">
        <v>5</v>
      </c>
      <c r="G5" s="18">
        <v>0.22</v>
      </c>
    </row>
    <row r="6" spans="1:14" x14ac:dyDescent="0.3">
      <c r="B6" s="1" t="s">
        <v>79</v>
      </c>
      <c r="C6" s="18">
        <v>7.5</v>
      </c>
      <c r="D6" s="3" t="s">
        <v>9</v>
      </c>
      <c r="F6" s="1" t="s">
        <v>10</v>
      </c>
      <c r="G6" s="18">
        <v>885</v>
      </c>
      <c r="H6" t="s">
        <v>12</v>
      </c>
    </row>
    <row r="7" spans="1:14" x14ac:dyDescent="0.3">
      <c r="B7" s="1" t="s">
        <v>65</v>
      </c>
      <c r="C7" s="18">
        <v>0.125</v>
      </c>
      <c r="D7" s="3" t="s">
        <v>9</v>
      </c>
      <c r="F7" s="1" t="s">
        <v>67</v>
      </c>
      <c r="G7" s="18">
        <v>1.137</v>
      </c>
    </row>
    <row r="8" spans="1:14" x14ac:dyDescent="0.3">
      <c r="B8" s="1" t="s">
        <v>68</v>
      </c>
      <c r="C8" s="18">
        <v>14.7</v>
      </c>
      <c r="D8" s="3" t="s">
        <v>69</v>
      </c>
    </row>
    <row r="9" spans="1:14" x14ac:dyDescent="0.3">
      <c r="B9" s="1" t="s">
        <v>80</v>
      </c>
      <c r="C9" s="2">
        <f>((C3-C4)/2)+C5</f>
        <v>0.87749999999999995</v>
      </c>
      <c r="D9" s="3" t="s">
        <v>9</v>
      </c>
    </row>
    <row r="10" spans="1:14" x14ac:dyDescent="0.3">
      <c r="B10" s="1" t="s">
        <v>81</v>
      </c>
      <c r="C10" s="2">
        <f>C9+C6</f>
        <v>8.3774999999999995</v>
      </c>
      <c r="D10" s="3" t="s">
        <v>9</v>
      </c>
    </row>
    <row r="11" spans="1:14" x14ac:dyDescent="0.3">
      <c r="B11" s="1" t="s">
        <v>13</v>
      </c>
      <c r="C11" s="4">
        <f>((((3.14*(C3/2)^2)*C9)-((3.14*(C4/2)^2)*C5))+((3.14*(C3/2)^2)*C6))*G3</f>
        <v>1.231492602323125</v>
      </c>
      <c r="D11" s="3" t="s">
        <v>14</v>
      </c>
    </row>
    <row r="12" spans="1:14" x14ac:dyDescent="0.3">
      <c r="B12" s="1"/>
      <c r="C12" s="6"/>
      <c r="D12" s="3"/>
    </row>
    <row r="13" spans="1:14" ht="20.399999999999999" x14ac:dyDescent="0.35">
      <c r="A13" s="40" t="s">
        <v>22</v>
      </c>
      <c r="B13" s="40"/>
      <c r="C13" s="40"/>
      <c r="D13" s="40"/>
      <c r="E13" s="3"/>
      <c r="F13" s="3"/>
      <c r="G13" s="3"/>
    </row>
    <row r="14" spans="1:14" x14ac:dyDescent="0.3">
      <c r="B14" s="1" t="s">
        <v>23</v>
      </c>
      <c r="C14" s="5">
        <f>SUM(M26:M79)</f>
        <v>134.40357135925109</v>
      </c>
      <c r="D14" s="3" t="s">
        <v>24</v>
      </c>
      <c r="E14" s="3"/>
      <c r="F14" s="3"/>
      <c r="G14" s="3"/>
    </row>
    <row r="15" spans="1:14" x14ac:dyDescent="0.3">
      <c r="B15" s="1" t="s">
        <v>23</v>
      </c>
      <c r="C15" s="5">
        <f>C14*4.44</f>
        <v>596.75185683507493</v>
      </c>
      <c r="D15" s="3" t="s">
        <v>25</v>
      </c>
      <c r="E15" s="3"/>
      <c r="F15" s="3"/>
      <c r="G15" s="3"/>
    </row>
    <row r="16" spans="1:14" x14ac:dyDescent="0.3">
      <c r="B16" s="1" t="s">
        <v>27</v>
      </c>
      <c r="C16" s="35">
        <f>J79</f>
        <v>34.674601797233485</v>
      </c>
      <c r="D16" s="3" t="s">
        <v>28</v>
      </c>
      <c r="E16" s="3"/>
      <c r="F16" s="3"/>
      <c r="G16" s="3"/>
    </row>
    <row r="17" spans="1:13" x14ac:dyDescent="0.3">
      <c r="B17" s="1" t="s">
        <v>26</v>
      </c>
      <c r="C17" s="35">
        <f>C14/C16</f>
        <v>3.8761388564806674</v>
      </c>
      <c r="D17" s="3" t="s">
        <v>29</v>
      </c>
      <c r="E17" s="3"/>
      <c r="F17" s="3"/>
      <c r="G17" s="3"/>
    </row>
    <row r="18" spans="1:13" x14ac:dyDescent="0.3">
      <c r="B18" s="1" t="s">
        <v>26</v>
      </c>
      <c r="C18" s="5">
        <f>C17*4.44</f>
        <v>17.210056522774163</v>
      </c>
      <c r="D18" s="3" t="s">
        <v>30</v>
      </c>
      <c r="E18" s="3"/>
      <c r="F18" s="3"/>
      <c r="G18" s="3"/>
    </row>
    <row r="19" spans="1:13" x14ac:dyDescent="0.3">
      <c r="B19" s="1" t="s">
        <v>52</v>
      </c>
      <c r="C19" s="5">
        <f>C14/C11</f>
        <v>109.13875658344038</v>
      </c>
      <c r="D19" s="3" t="s">
        <v>28</v>
      </c>
      <c r="E19" s="3"/>
      <c r="F19" s="3"/>
      <c r="G19" s="3"/>
    </row>
    <row r="20" spans="1:13" x14ac:dyDescent="0.3">
      <c r="B20" s="1" t="s">
        <v>70</v>
      </c>
      <c r="C20" s="5">
        <f>MAX(F26:F79)</f>
        <v>976.34285717547459</v>
      </c>
      <c r="D20" s="3" t="s">
        <v>69</v>
      </c>
      <c r="E20" s="3"/>
      <c r="F20" s="3"/>
      <c r="G20" s="3"/>
    </row>
    <row r="21" spans="1:13" x14ac:dyDescent="0.3">
      <c r="B21" s="1" t="s">
        <v>71</v>
      </c>
      <c r="C21" s="5">
        <f>MAX(K26:K79)</f>
        <v>17.593019114517602</v>
      </c>
      <c r="D21" s="3" t="s">
        <v>29</v>
      </c>
      <c r="E21" s="3"/>
      <c r="F21" s="3"/>
      <c r="G21" s="3"/>
    </row>
    <row r="22" spans="1:13" x14ac:dyDescent="0.3">
      <c r="B22" s="1" t="s">
        <v>71</v>
      </c>
      <c r="C22" s="5">
        <f>C21*4.44</f>
        <v>78.113004868458162</v>
      </c>
      <c r="D22" s="3" t="s">
        <v>30</v>
      </c>
      <c r="E22" s="3"/>
      <c r="F22" s="3"/>
      <c r="G22" s="3"/>
    </row>
    <row r="23" spans="1:13" x14ac:dyDescent="0.3">
      <c r="B23" s="1" t="s">
        <v>107</v>
      </c>
      <c r="C23" s="4" t="str">
        <f>VLOOKUP(C15,'Motor Classification'!B4:C22,2,TRUE)</f>
        <v>I</v>
      </c>
      <c r="D23" s="3"/>
      <c r="E23" s="3"/>
      <c r="F23" s="3"/>
      <c r="G23" s="3"/>
    </row>
    <row r="25" spans="1:13" ht="47.4" customHeight="1" x14ac:dyDescent="0.3">
      <c r="B25" s="9" t="s">
        <v>62</v>
      </c>
      <c r="C25" s="9" t="s">
        <v>55</v>
      </c>
      <c r="D25" s="9" t="s">
        <v>56</v>
      </c>
      <c r="E25" s="9" t="s">
        <v>11</v>
      </c>
      <c r="F25" s="9" t="s">
        <v>57</v>
      </c>
      <c r="G25" s="9" t="s">
        <v>66</v>
      </c>
      <c r="H25" s="9" t="s">
        <v>58</v>
      </c>
      <c r="I25" s="9" t="s">
        <v>59</v>
      </c>
      <c r="J25" s="9" t="s">
        <v>60</v>
      </c>
      <c r="K25" s="9" t="s">
        <v>16</v>
      </c>
      <c r="L25" s="9" t="s">
        <v>31</v>
      </c>
      <c r="M25" s="9" t="s">
        <v>61</v>
      </c>
    </row>
    <row r="26" spans="1:13" x14ac:dyDescent="0.3">
      <c r="B26" s="2">
        <v>0</v>
      </c>
      <c r="C26" s="2">
        <f>C4</f>
        <v>1</v>
      </c>
      <c r="D26" s="2">
        <f>C5</f>
        <v>0.5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</row>
    <row r="27" spans="1:13" x14ac:dyDescent="0.3">
      <c r="A27" s="1" t="s">
        <v>17</v>
      </c>
      <c r="B27" s="2">
        <v>1</v>
      </c>
      <c r="C27" s="2">
        <f>IF(C26&gt;0, C26+$L$3, 0)</f>
        <v>1.0150999999999999</v>
      </c>
      <c r="D27" s="2">
        <f>IF(D26&gt;0,(D26+$L$4),(0))</f>
        <v>0.50754999999999995</v>
      </c>
      <c r="E27" s="5">
        <f t="shared" ref="E27:E58" si="0">((3.14*(C27/2)^2)+((6.28*(C27/2))*D27))/(3.14*($C$7/2)^2)</f>
        <v>197.84217791999995</v>
      </c>
      <c r="F27" s="5">
        <f>(((E27*$G$3*$G$4*($G$6*39.37))/(386.4))^(1/(1-$G$5)))*0.95</f>
        <v>239.85018818313674</v>
      </c>
      <c r="G27" s="35">
        <f t="shared" ref="G27:G58" si="1">(SQRT((2*($G$7^2)/($G$7-1))*((2/($G$7+1))^(($G$7+1)/($G$7-1)))*((1-($C$8/F27)^(($G$7-1)/$G$7)))))*0.9</f>
        <v>1.2464741713569363</v>
      </c>
      <c r="H27" s="4">
        <f t="shared" ref="H27:H78" si="2">$G$4*F27^$G$5</f>
        <v>0.22570101384284602</v>
      </c>
      <c r="I27" s="4">
        <f>$L$4/H27</f>
        <v>3.3451334007994347E-2</v>
      </c>
      <c r="J27" s="4">
        <f>J26+I27</f>
        <v>3.3451334007994347E-2</v>
      </c>
      <c r="K27" s="4">
        <f>(3.14*($C$7/2)^2)*F27*G27</f>
        <v>3.6670179013097468</v>
      </c>
      <c r="L27" s="4">
        <f>K27*4.44</f>
        <v>16.281559481815279</v>
      </c>
      <c r="M27" s="4">
        <f>K27*I27</f>
        <v>0.12266664063000679</v>
      </c>
    </row>
    <row r="28" spans="1:13" x14ac:dyDescent="0.3">
      <c r="B28" s="2">
        <v>2</v>
      </c>
      <c r="C28" s="2">
        <f t="shared" ref="C28:C76" si="3">IF(C27&gt;0, C27+$L$3, 0)</f>
        <v>1.0301999999999998</v>
      </c>
      <c r="D28" s="2">
        <f t="shared" ref="D28:D76" si="4">IF(D27&gt;0,(D27+$L$4),(0))</f>
        <v>0.51509999999999989</v>
      </c>
      <c r="E28" s="5">
        <f t="shared" si="0"/>
        <v>203.7719116799999</v>
      </c>
      <c r="F28" s="5">
        <f t="shared" ref="F28:F78" si="5">(((E28*$G$3*$G$4*($G$6*39.37))/(386.4))^(1/(1-$G$5)))*0.95</f>
        <v>249.10527813042603</v>
      </c>
      <c r="G28" s="35">
        <f t="shared" si="1"/>
        <v>1.2535468220092165</v>
      </c>
      <c r="H28" s="4">
        <f t="shared" si="2"/>
        <v>0.22758882856974766</v>
      </c>
      <c r="I28" s="4">
        <f t="shared" ref="I28:I76" si="6">$L$4/H28</f>
        <v>3.3173860278850199E-2</v>
      </c>
      <c r="J28" s="4">
        <f>J27+I28</f>
        <v>6.6625194286844547E-2</v>
      </c>
      <c r="K28" s="4">
        <f t="shared" ref="K28:K77" si="7">(3.14*($C$7/2)^2)*F28*G28</f>
        <v>3.830126982042223</v>
      </c>
      <c r="L28" s="4">
        <f t="shared" ref="L28:L77" si="8">K28*4.44</f>
        <v>17.00576380026747</v>
      </c>
      <c r="M28" s="4">
        <f t="shared" ref="M28:M79" si="9">K28*I28</f>
        <v>0.12706009735252288</v>
      </c>
    </row>
    <row r="29" spans="1:13" x14ac:dyDescent="0.3">
      <c r="B29" s="2">
        <v>3</v>
      </c>
      <c r="C29" s="2">
        <f t="shared" si="3"/>
        <v>1.0452999999999997</v>
      </c>
      <c r="D29" s="2">
        <f t="shared" si="4"/>
        <v>0.52264999999999984</v>
      </c>
      <c r="E29" s="5">
        <f t="shared" si="0"/>
        <v>209.7892012799999</v>
      </c>
      <c r="F29" s="5">
        <f t="shared" si="5"/>
        <v>258.57499907432538</v>
      </c>
      <c r="G29" s="35">
        <f t="shared" si="1"/>
        <v>1.2604465021286468</v>
      </c>
      <c r="H29" s="4">
        <f t="shared" si="2"/>
        <v>0.22946461978496763</v>
      </c>
      <c r="I29" s="4">
        <f t="shared" si="6"/>
        <v>3.2902675833316436E-2</v>
      </c>
      <c r="J29" s="4">
        <f t="shared" ref="J29:J76" si="10">J28+I29</f>
        <v>9.9527870120160983E-2</v>
      </c>
      <c r="K29" s="4">
        <f t="shared" si="7"/>
        <v>3.9976119250016242</v>
      </c>
      <c r="L29" s="4">
        <f t="shared" si="8"/>
        <v>17.749396947007213</v>
      </c>
      <c r="M29" s="4">
        <f t="shared" si="9"/>
        <v>0.13153212927572855</v>
      </c>
    </row>
    <row r="30" spans="1:13" x14ac:dyDescent="0.3">
      <c r="B30" s="2">
        <v>4</v>
      </c>
      <c r="C30" s="2">
        <f t="shared" si="3"/>
        <v>1.0603999999999996</v>
      </c>
      <c r="D30" s="2">
        <f t="shared" si="4"/>
        <v>0.53019999999999978</v>
      </c>
      <c r="E30" s="5">
        <f t="shared" si="0"/>
        <v>215.89404671999984</v>
      </c>
      <c r="F30" s="5">
        <f t="shared" si="5"/>
        <v>268.26112003469075</v>
      </c>
      <c r="G30" s="35">
        <f t="shared" si="1"/>
        <v>1.2671804182864608</v>
      </c>
      <c r="H30" s="4">
        <f t="shared" si="2"/>
        <v>0.23132863611903667</v>
      </c>
      <c r="I30" s="4">
        <f t="shared" si="6"/>
        <v>3.2637550312253315E-2</v>
      </c>
      <c r="J30" s="4">
        <f t="shared" si="10"/>
        <v>0.1321654204324143</v>
      </c>
      <c r="K30" s="4">
        <f t="shared" si="7"/>
        <v>4.1695181572189037</v>
      </c>
      <c r="L30" s="4">
        <f t="shared" si="8"/>
        <v>18.512660618051935</v>
      </c>
      <c r="M30" s="4">
        <f t="shared" si="9"/>
        <v>0.1360828586340857</v>
      </c>
    </row>
    <row r="31" spans="1:13" x14ac:dyDescent="0.3">
      <c r="B31" s="2">
        <v>5</v>
      </c>
      <c r="C31" s="2">
        <f t="shared" si="3"/>
        <v>1.0754999999999995</v>
      </c>
      <c r="D31" s="2">
        <f t="shared" si="4"/>
        <v>0.53774999999999973</v>
      </c>
      <c r="E31" s="5">
        <f t="shared" si="0"/>
        <v>222.08644799999979</v>
      </c>
      <c r="F31" s="5">
        <f t="shared" si="5"/>
        <v>278.16539892617988</v>
      </c>
      <c r="G31" s="35">
        <f t="shared" si="1"/>
        <v>1.27375535454245</v>
      </c>
      <c r="H31" s="4">
        <f t="shared" si="2"/>
        <v>0.23318111760414212</v>
      </c>
      <c r="I31" s="4">
        <f t="shared" si="6"/>
        <v>3.2378264919448535E-2</v>
      </c>
      <c r="J31" s="4">
        <f t="shared" si="10"/>
        <v>0.16454368535186284</v>
      </c>
      <c r="K31" s="4">
        <f t="shared" si="7"/>
        <v>4.3458908292119807</v>
      </c>
      <c r="L31" s="4">
        <f t="shared" si="8"/>
        <v>19.295755281701197</v>
      </c>
      <c r="M31" s="4">
        <f t="shared" si="9"/>
        <v>0.14071240457922737</v>
      </c>
    </row>
    <row r="32" spans="1:13" x14ac:dyDescent="0.3">
      <c r="B32" s="2">
        <v>6</v>
      </c>
      <c r="C32" s="2">
        <f t="shared" si="3"/>
        <v>1.0905999999999993</v>
      </c>
      <c r="D32" s="2">
        <f t="shared" si="4"/>
        <v>0.54529999999999967</v>
      </c>
      <c r="E32" s="5">
        <f t="shared" si="0"/>
        <v>228.36640511999974</v>
      </c>
      <c r="F32" s="5">
        <f t="shared" si="5"/>
        <v>288.28958278464961</v>
      </c>
      <c r="G32" s="35">
        <f t="shared" si="1"/>
        <v>1.2801777043108413</v>
      </c>
      <c r="H32" s="4">
        <f t="shared" si="2"/>
        <v>0.23502229608769354</v>
      </c>
      <c r="I32" s="4">
        <f t="shared" si="6"/>
        <v>3.2124611688683691E-2</v>
      </c>
      <c r="J32" s="4">
        <f t="shared" si="10"/>
        <v>0.19666829704054653</v>
      </c>
      <c r="K32" s="4">
        <f t="shared" si="7"/>
        <v>4.5267748213874475</v>
      </c>
      <c r="L32" s="4">
        <f t="shared" si="8"/>
        <v>20.098880206960267</v>
      </c>
      <c r="M32" s="4">
        <f t="shared" si="9"/>
        <v>0.14542088333918221</v>
      </c>
    </row>
    <row r="33" spans="2:13" x14ac:dyDescent="0.3">
      <c r="B33" s="2">
        <v>7</v>
      </c>
      <c r="C33" s="2">
        <f t="shared" si="3"/>
        <v>1.1056999999999992</v>
      </c>
      <c r="D33" s="2">
        <f t="shared" si="4"/>
        <v>0.55284999999999962</v>
      </c>
      <c r="E33" s="5">
        <f t="shared" si="0"/>
        <v>234.73391807999968</v>
      </c>
      <c r="F33" s="5">
        <f t="shared" si="5"/>
        <v>298.63540798583574</v>
      </c>
      <c r="G33" s="35">
        <f t="shared" si="1"/>
        <v>1.2864534992934633</v>
      </c>
      <c r="H33" s="4">
        <f t="shared" si="2"/>
        <v>0.23685239562056198</v>
      </c>
      <c r="I33" s="4">
        <f t="shared" si="6"/>
        <v>3.1876392806662227E-2</v>
      </c>
      <c r="J33" s="4">
        <f t="shared" si="10"/>
        <v>0.22854468984720877</v>
      </c>
      <c r="K33" s="4">
        <f t="shared" si="7"/>
        <v>4.7122147501375462</v>
      </c>
      <c r="L33" s="4">
        <f t="shared" si="8"/>
        <v>20.922233490610708</v>
      </c>
      <c r="M33" s="4">
        <f t="shared" si="9"/>
        <v>0.15020840836473212</v>
      </c>
    </row>
    <row r="34" spans="2:13" x14ac:dyDescent="0.3">
      <c r="B34" s="2">
        <v>8</v>
      </c>
      <c r="C34" s="2">
        <f t="shared" si="3"/>
        <v>1.1207999999999991</v>
      </c>
      <c r="D34" s="2">
        <f t="shared" si="4"/>
        <v>0.56039999999999957</v>
      </c>
      <c r="E34" s="5">
        <f t="shared" si="0"/>
        <v>241.18898687999965</v>
      </c>
      <c r="F34" s="5">
        <f t="shared" si="5"/>
        <v>309.20460045667625</v>
      </c>
      <c r="G34" s="35">
        <f t="shared" si="1"/>
        <v>1.2925884357982123</v>
      </c>
      <c r="H34" s="4">
        <f t="shared" si="2"/>
        <v>0.23867163282186621</v>
      </c>
      <c r="I34" s="4">
        <f t="shared" si="6"/>
        <v>3.1633419986844352E-2</v>
      </c>
      <c r="J34" s="4">
        <f t="shared" si="10"/>
        <v>0.2601781098340531</v>
      </c>
      <c r="K34" s="4">
        <f t="shared" si="7"/>
        <v>4.9022549736568202</v>
      </c>
      <c r="L34" s="4">
        <f t="shared" si="8"/>
        <v>21.766012083036284</v>
      </c>
      <c r="M34" s="4">
        <f t="shared" si="9"/>
        <v>0.15507509046428278</v>
      </c>
    </row>
    <row r="35" spans="2:13" x14ac:dyDescent="0.3">
      <c r="B35" s="2">
        <v>9</v>
      </c>
      <c r="C35" s="2">
        <f t="shared" si="3"/>
        <v>1.135899999999999</v>
      </c>
      <c r="D35" s="2">
        <f t="shared" si="4"/>
        <v>0.56794999999999951</v>
      </c>
      <c r="E35" s="5">
        <f t="shared" si="0"/>
        <v>247.73161151999955</v>
      </c>
      <c r="F35" s="5">
        <f t="shared" si="5"/>
        <v>319.99887587962496</v>
      </c>
      <c r="G35" s="35">
        <f t="shared" si="1"/>
        <v>1.2985878987211958</v>
      </c>
      <c r="H35" s="4">
        <f t="shared" si="2"/>
        <v>0.2404802172220192</v>
      </c>
      <c r="I35" s="4">
        <f t="shared" si="6"/>
        <v>3.1395513889733356E-2</v>
      </c>
      <c r="J35" s="4">
        <f t="shared" si="10"/>
        <v>0.29157362372378648</v>
      </c>
      <c r="K35" s="4">
        <f t="shared" si="7"/>
        <v>5.0969395975001337</v>
      </c>
      <c r="L35" s="4">
        <f t="shared" si="8"/>
        <v>22.630411812900597</v>
      </c>
      <c r="M35" s="4">
        <f t="shared" si="9"/>
        <v>0.16002103792844738</v>
      </c>
    </row>
    <row r="36" spans="2:13" x14ac:dyDescent="0.3">
      <c r="B36" s="2">
        <v>10</v>
      </c>
      <c r="C36" s="2">
        <f t="shared" si="3"/>
        <v>1.1509999999999989</v>
      </c>
      <c r="D36" s="2">
        <f t="shared" si="4"/>
        <v>0.57549999999999946</v>
      </c>
      <c r="E36" s="5">
        <f t="shared" si="0"/>
        <v>254.36179199999953</v>
      </c>
      <c r="F36" s="5">
        <f t="shared" si="5"/>
        <v>331.01993989027932</v>
      </c>
      <c r="G36" s="35">
        <f t="shared" si="1"/>
        <v>1.3044569834369011</v>
      </c>
      <c r="H36" s="4">
        <f t="shared" si="2"/>
        <v>0.24227835158560246</v>
      </c>
      <c r="I36" s="4">
        <f t="shared" si="6"/>
        <v>3.1162503585601669E-2</v>
      </c>
      <c r="J36" s="4">
        <f t="shared" si="10"/>
        <v>0.32273612730938817</v>
      </c>
      <c r="K36" s="4">
        <f t="shared" si="7"/>
        <v>5.2963124799013963</v>
      </c>
      <c r="L36" s="4">
        <f t="shared" si="8"/>
        <v>23.515627410762203</v>
      </c>
      <c r="M36" s="4">
        <f t="shared" si="9"/>
        <v>0.16504635664539413</v>
      </c>
    </row>
    <row r="37" spans="2:13" x14ac:dyDescent="0.3">
      <c r="B37" s="2">
        <v>11</v>
      </c>
      <c r="C37" s="2">
        <f t="shared" si="3"/>
        <v>1.1660999999999988</v>
      </c>
      <c r="D37" s="2">
        <f t="shared" si="4"/>
        <v>0.5830499999999994</v>
      </c>
      <c r="E37" s="5">
        <f t="shared" si="0"/>
        <v>261.07952831999944</v>
      </c>
      <c r="F37" s="5">
        <f t="shared" si="5"/>
        <v>342.26948826862451</v>
      </c>
      <c r="G37" s="35">
        <f t="shared" si="1"/>
        <v>1.3102005158113541</v>
      </c>
      <c r="H37" s="4">
        <f t="shared" si="2"/>
        <v>0.24406623221550064</v>
      </c>
      <c r="I37" s="4">
        <f t="shared" si="6"/>
        <v>3.0934226056038974E-2</v>
      </c>
      <c r="J37" s="4">
        <f t="shared" si="10"/>
        <v>0.35367035336542713</v>
      </c>
      <c r="K37" s="4">
        <f t="shared" si="7"/>
        <v>5.5004172368701783</v>
      </c>
      <c r="L37" s="4">
        <f t="shared" si="8"/>
        <v>24.421852531703593</v>
      </c>
      <c r="M37" s="4">
        <f t="shared" si="9"/>
        <v>0.17015115020787536</v>
      </c>
    </row>
    <row r="38" spans="2:13" x14ac:dyDescent="0.3">
      <c r="B38" s="2">
        <v>12</v>
      </c>
      <c r="C38" s="2">
        <f t="shared" si="3"/>
        <v>1.1811999999999987</v>
      </c>
      <c r="D38" s="2">
        <f t="shared" si="4"/>
        <v>0.59059999999999935</v>
      </c>
      <c r="E38" s="5">
        <f t="shared" si="0"/>
        <v>267.88482047999941</v>
      </c>
      <c r="F38" s="5">
        <f t="shared" si="5"/>
        <v>353.74920712418344</v>
      </c>
      <c r="G38" s="35">
        <f t="shared" si="1"/>
        <v>1.3158230705278702</v>
      </c>
      <c r="H38" s="4">
        <f t="shared" si="2"/>
        <v>0.24584404923961484</v>
      </c>
      <c r="I38" s="4">
        <f t="shared" si="6"/>
        <v>3.0710525731055222E-2</v>
      </c>
      <c r="J38" s="4">
        <f t="shared" si="10"/>
        <v>0.38438087909648233</v>
      </c>
      <c r="K38" s="4">
        <f t="shared" si="7"/>
        <v>5.709297247081718</v>
      </c>
      <c r="L38" s="4">
        <f t="shared" si="8"/>
        <v>25.349279777042831</v>
      </c>
      <c r="M38" s="4">
        <f t="shared" si="9"/>
        <v>0.17533552001274585</v>
      </c>
    </row>
    <row r="39" spans="2:13" x14ac:dyDescent="0.3">
      <c r="B39" s="2">
        <v>13</v>
      </c>
      <c r="C39" s="2">
        <f t="shared" si="3"/>
        <v>1.1962999999999986</v>
      </c>
      <c r="D39" s="2">
        <f t="shared" si="4"/>
        <v>0.59814999999999929</v>
      </c>
      <c r="E39" s="5">
        <f t="shared" si="0"/>
        <v>274.77766847999936</v>
      </c>
      <c r="F39" s="5">
        <f t="shared" si="5"/>
        <v>365.46077307534051</v>
      </c>
      <c r="G39" s="35">
        <f t="shared" si="1"/>
        <v>1.3213289878929866</v>
      </c>
      <c r="H39" s="4">
        <f t="shared" si="2"/>
        <v>0.2476119868813593</v>
      </c>
      <c r="I39" s="4">
        <f t="shared" si="6"/>
        <v>3.0491254058784733E-2</v>
      </c>
      <c r="J39" s="4">
        <f t="shared" si="10"/>
        <v>0.41487213315526705</v>
      </c>
      <c r="K39" s="4">
        <f t="shared" si="7"/>
        <v>5.9229956565742041</v>
      </c>
      <c r="L39" s="4">
        <f t="shared" si="8"/>
        <v>26.29810071518947</v>
      </c>
      <c r="M39" s="4">
        <f t="shared" si="9"/>
        <v>0.18059956535368255</v>
      </c>
    </row>
    <row r="40" spans="2:13" x14ac:dyDescent="0.3">
      <c r="B40" s="2">
        <v>14</v>
      </c>
      <c r="C40" s="2">
        <f t="shared" si="3"/>
        <v>1.2113999999999985</v>
      </c>
      <c r="D40" s="2">
        <f t="shared" si="4"/>
        <v>0.60569999999999924</v>
      </c>
      <c r="E40" s="5">
        <f t="shared" si="0"/>
        <v>281.75807231999931</v>
      </c>
      <c r="F40" s="5">
        <f t="shared" si="5"/>
        <v>377.40585342310033</v>
      </c>
      <c r="G40" s="35">
        <f t="shared" si="1"/>
        <v>1.3267223892710507</v>
      </c>
      <c r="H40" s="4">
        <f t="shared" si="2"/>
        <v>0.24937022371505366</v>
      </c>
      <c r="I40" s="4">
        <f t="shared" si="6"/>
        <v>3.0276269105116216E-2</v>
      </c>
      <c r="J40" s="4">
        <f t="shared" si="10"/>
        <v>0.44514840226038327</v>
      </c>
      <c r="K40" s="4">
        <f t="shared" si="7"/>
        <v>6.141555383266013</v>
      </c>
      <c r="L40" s="4">
        <f t="shared" si="8"/>
        <v>27.268505901701101</v>
      </c>
      <c r="M40" s="4">
        <f t="shared" si="9"/>
        <v>0.18594338350773698</v>
      </c>
    </row>
    <row r="41" spans="2:13" x14ac:dyDescent="0.3">
      <c r="B41" s="2">
        <v>15</v>
      </c>
      <c r="C41" s="2">
        <f t="shared" si="3"/>
        <v>1.2264999999999984</v>
      </c>
      <c r="D41" s="2">
        <f t="shared" si="4"/>
        <v>0.61324999999999918</v>
      </c>
      <c r="E41" s="5">
        <f t="shared" si="0"/>
        <v>288.8260319999992</v>
      </c>
      <c r="F41" s="5">
        <f t="shared" si="5"/>
        <v>389.5861063195108</v>
      </c>
      <c r="G41" s="35">
        <f t="shared" si="1"/>
        <v>1.3320071912792566</v>
      </c>
      <c r="H41" s="4">
        <f t="shared" si="2"/>
        <v>0.25111893290722959</v>
      </c>
      <c r="I41" s="4">
        <f t="shared" si="6"/>
        <v>3.0065435180823986E-2</v>
      </c>
      <c r="J41" s="4">
        <f t="shared" si="10"/>
        <v>0.47521383744120727</v>
      </c>
      <c r="K41" s="4">
        <f t="shared" si="7"/>
        <v>6.3650191213040257</v>
      </c>
      <c r="L41" s="4">
        <f t="shared" si="8"/>
        <v>28.260684898589876</v>
      </c>
      <c r="M41" s="4">
        <f t="shared" si="9"/>
        <v>0.19136706981627144</v>
      </c>
    </row>
    <row r="42" spans="2:13" x14ac:dyDescent="0.3">
      <c r="B42" s="2">
        <v>16</v>
      </c>
      <c r="C42" s="2">
        <f t="shared" si="3"/>
        <v>1.2415999999999983</v>
      </c>
      <c r="D42" s="2">
        <f t="shared" si="4"/>
        <v>0.62079999999999913</v>
      </c>
      <c r="E42" s="5">
        <f t="shared" si="0"/>
        <v>295.98154751999914</v>
      </c>
      <c r="F42" s="5">
        <f t="shared" si="5"/>
        <v>402.00318093099099</v>
      </c>
      <c r="G42" s="35">
        <f t="shared" si="1"/>
        <v>1.3371871188603932</v>
      </c>
      <c r="H42" s="4">
        <f t="shared" si="2"/>
        <v>0.25285828244479325</v>
      </c>
      <c r="I42" s="4">
        <f t="shared" si="6"/>
        <v>2.9858622493998774E-2</v>
      </c>
      <c r="J42" s="4">
        <f t="shared" si="10"/>
        <v>0.505072459935206</v>
      </c>
      <c r="K42" s="4">
        <f t="shared" si="7"/>
        <v>6.5934293452536377</v>
      </c>
      <c r="L42" s="4">
        <f t="shared" si="8"/>
        <v>29.274826292926154</v>
      </c>
      <c r="M42" s="4">
        <f t="shared" si="9"/>
        <v>0.19687071776078188</v>
      </c>
    </row>
    <row r="43" spans="2:13" x14ac:dyDescent="0.3">
      <c r="B43" s="2">
        <v>17</v>
      </c>
      <c r="C43" s="2">
        <f t="shared" si="3"/>
        <v>1.2566999999999982</v>
      </c>
      <c r="D43" s="2">
        <f t="shared" si="4"/>
        <v>0.62834999999999908</v>
      </c>
      <c r="E43" s="5">
        <f t="shared" si="0"/>
        <v>303.22461887999913</v>
      </c>
      <c r="F43" s="5">
        <f t="shared" si="5"/>
        <v>414.65871759677083</v>
      </c>
      <c r="G43" s="35">
        <f t="shared" si="1"/>
        <v>1.3422657173378048</v>
      </c>
      <c r="H43" s="4">
        <f t="shared" si="2"/>
        <v>0.25458843535090997</v>
      </c>
      <c r="I43" s="4">
        <f t="shared" si="6"/>
        <v>2.9655706825777516E-2</v>
      </c>
      <c r="J43" s="4">
        <f t="shared" si="10"/>
        <v>0.53472816676098356</v>
      </c>
      <c r="K43" s="4">
        <f t="shared" si="7"/>
        <v>6.8268283141397195</v>
      </c>
      <c r="L43" s="4">
        <f t="shared" si="8"/>
        <v>30.311117714780359</v>
      </c>
      <c r="M43" s="4">
        <f t="shared" si="9"/>
        <v>0.20245441903404449</v>
      </c>
    </row>
    <row r="44" spans="2:13" x14ac:dyDescent="0.3">
      <c r="B44" s="2">
        <v>18</v>
      </c>
      <c r="C44" s="2">
        <f t="shared" si="3"/>
        <v>1.271799999999998</v>
      </c>
      <c r="D44" s="2">
        <f t="shared" si="4"/>
        <v>0.63589999999999902</v>
      </c>
      <c r="E44" s="5">
        <f t="shared" si="0"/>
        <v>310.55524607999905</v>
      </c>
      <c r="F44" s="5">
        <f t="shared" si="5"/>
        <v>427.55434798264952</v>
      </c>
      <c r="G44" s="35">
        <f t="shared" si="1"/>
        <v>1.3472463635458871</v>
      </c>
      <c r="H44" s="4">
        <f t="shared" si="2"/>
        <v>0.25630954988941124</v>
      </c>
      <c r="I44" s="4">
        <f t="shared" si="6"/>
        <v>2.9456569227551466E-2</v>
      </c>
      <c r="J44" s="4">
        <f t="shared" si="10"/>
        <v>0.56418473598853502</v>
      </c>
      <c r="K44" s="4">
        <f t="shared" si="7"/>
        <v>7.065258075347157</v>
      </c>
      <c r="L44" s="4">
        <f t="shared" si="8"/>
        <v>31.369745854541378</v>
      </c>
      <c r="M44" s="4">
        <f t="shared" si="9"/>
        <v>0.20811826360698055</v>
      </c>
    </row>
    <row r="45" spans="2:13" x14ac:dyDescent="0.3">
      <c r="B45" s="2">
        <v>19</v>
      </c>
      <c r="C45" s="2">
        <f t="shared" si="3"/>
        <v>1.2868999999999979</v>
      </c>
      <c r="D45" s="2">
        <f t="shared" si="4"/>
        <v>0.64344999999999897</v>
      </c>
      <c r="E45" s="5">
        <f t="shared" si="0"/>
        <v>317.97342911999897</v>
      </c>
      <c r="F45" s="5">
        <f t="shared" si="5"/>
        <v>440.69169523026432</v>
      </c>
      <c r="G45" s="35">
        <f t="shared" si="1"/>
        <v>1.3521322761196237</v>
      </c>
      <c r="H45" s="4">
        <f t="shared" si="2"/>
        <v>0.25802177975846313</v>
      </c>
      <c r="I45" s="4">
        <f t="shared" si="6"/>
        <v>2.9261095737994024E-2</v>
      </c>
      <c r="J45" s="4">
        <f t="shared" si="10"/>
        <v>0.59344583172652909</v>
      </c>
      <c r="K45" s="4">
        <f t="shared" si="7"/>
        <v>7.3087604683888996</v>
      </c>
      <c r="L45" s="4">
        <f t="shared" si="8"/>
        <v>32.450896479646715</v>
      </c>
      <c r="M45" s="4">
        <f t="shared" si="9"/>
        <v>0.21386233979159364</v>
      </c>
    </row>
    <row r="46" spans="2:13" x14ac:dyDescent="0.3">
      <c r="B46" s="2">
        <v>20</v>
      </c>
      <c r="C46" s="2">
        <f t="shared" si="3"/>
        <v>1.3019999999999978</v>
      </c>
      <c r="D46" s="2">
        <f t="shared" si="4"/>
        <v>0.65099999999999891</v>
      </c>
      <c r="E46" s="5">
        <f t="shared" si="0"/>
        <v>325.47916799999894</v>
      </c>
      <c r="F46" s="5">
        <f t="shared" si="5"/>
        <v>454.07237410205329</v>
      </c>
      <c r="G46" s="35">
        <f t="shared" si="1"/>
        <v>1.3569265250179798</v>
      </c>
      <c r="H46" s="4">
        <f t="shared" si="2"/>
        <v>0.25972527427417813</v>
      </c>
      <c r="I46" s="4">
        <f t="shared" si="6"/>
        <v>2.9069177118395746E-2</v>
      </c>
      <c r="J46" s="4">
        <f t="shared" si="10"/>
        <v>0.62251500884492483</v>
      </c>
      <c r="K46" s="4">
        <f t="shared" si="7"/>
        <v>7.5573771285486906</v>
      </c>
      <c r="L46" s="4">
        <f t="shared" si="8"/>
        <v>33.554754450756192</v>
      </c>
      <c r="M46" s="4">
        <f t="shared" si="9"/>
        <v>0.21968673430029495</v>
      </c>
    </row>
    <row r="47" spans="2:13" x14ac:dyDescent="0.3">
      <c r="B47" s="2">
        <v>21</v>
      </c>
      <c r="C47" s="2">
        <f t="shared" si="3"/>
        <v>1.3170999999999977</v>
      </c>
      <c r="D47" s="2">
        <f t="shared" si="4"/>
        <v>0.65854999999999886</v>
      </c>
      <c r="E47" s="5">
        <f t="shared" si="0"/>
        <v>333.0724627199989</v>
      </c>
      <c r="F47" s="5">
        <f t="shared" si="5"/>
        <v>467.69799112208278</v>
      </c>
      <c r="G47" s="35">
        <f t="shared" si="1"/>
        <v>1.3616320403483428</v>
      </c>
      <c r="H47" s="4">
        <f t="shared" si="2"/>
        <v>0.2614201785448052</v>
      </c>
      <c r="I47" s="4">
        <f t="shared" si="6"/>
        <v>2.8880708604925049E-2</v>
      </c>
      <c r="J47" s="4">
        <f t="shared" si="10"/>
        <v>0.65139571744984992</v>
      </c>
      <c r="K47" s="4">
        <f t="shared" si="7"/>
        <v>7.811149490405163</v>
      </c>
      <c r="L47" s="4">
        <f t="shared" si="8"/>
        <v>34.681503737398927</v>
      </c>
      <c r="M47" s="4">
        <f t="shared" si="9"/>
        <v>0.22559153230190029</v>
      </c>
    </row>
    <row r="48" spans="2:13" x14ac:dyDescent="0.3">
      <c r="B48" s="2">
        <v>22</v>
      </c>
      <c r="C48" s="2">
        <f t="shared" si="3"/>
        <v>1.3321999999999976</v>
      </c>
      <c r="D48" s="2">
        <f t="shared" si="4"/>
        <v>0.6660999999999988</v>
      </c>
      <c r="E48" s="5">
        <f t="shared" si="0"/>
        <v>340.75331327999874</v>
      </c>
      <c r="F48" s="5">
        <f t="shared" si="5"/>
        <v>481.57014471290876</v>
      </c>
      <c r="G48" s="35">
        <f t="shared" si="1"/>
        <v>1.3662516205524222</v>
      </c>
      <c r="H48" s="4">
        <f t="shared" si="2"/>
        <v>0.26310663363608133</v>
      </c>
      <c r="I48" s="4">
        <f t="shared" si="6"/>
        <v>2.8695589676552433E-2</v>
      </c>
      <c r="J48" s="4">
        <f t="shared" si="10"/>
        <v>0.68009130712640231</v>
      </c>
      <c r="K48" s="4">
        <f t="shared" si="7"/>
        <v>8.0701187912435266</v>
      </c>
      <c r="L48" s="4">
        <f t="shared" si="8"/>
        <v>35.83132743312126</v>
      </c>
      <c r="M48" s="4">
        <f t="shared" si="9"/>
        <v>0.23157681747455955</v>
      </c>
    </row>
    <row r="49" spans="2:13" x14ac:dyDescent="0.3">
      <c r="B49" s="2">
        <v>23</v>
      </c>
      <c r="C49" s="2">
        <f t="shared" si="3"/>
        <v>1.3472999999999975</v>
      </c>
      <c r="D49" s="2">
        <f t="shared" si="4"/>
        <v>0.67364999999999875</v>
      </c>
      <c r="E49" s="5">
        <f t="shared" si="0"/>
        <v>348.52171967999874</v>
      </c>
      <c r="F49" s="5">
        <f t="shared" si="5"/>
        <v>495.69042532862602</v>
      </c>
      <c r="G49" s="35">
        <f t="shared" si="1"/>
        <v>1.3707879400080143</v>
      </c>
      <c r="H49" s="4">
        <f t="shared" si="2"/>
        <v>0.26478477672829015</v>
      </c>
      <c r="I49" s="4">
        <f t="shared" si="6"/>
        <v>2.8513723837482765E-2</v>
      </c>
      <c r="J49" s="4">
        <f t="shared" si="10"/>
        <v>0.70860503096388505</v>
      </c>
      <c r="K49" s="4">
        <f t="shared" si="7"/>
        <v>8.3343260743604706</v>
      </c>
      <c r="L49" s="4">
        <f t="shared" si="8"/>
        <v>37.004407770160491</v>
      </c>
      <c r="M49" s="4">
        <f t="shared" si="9"/>
        <v>0.2376426720558463</v>
      </c>
    </row>
    <row r="50" spans="2:13" x14ac:dyDescent="0.3">
      <c r="B50" s="2">
        <v>24</v>
      </c>
      <c r="C50" s="2">
        <f t="shared" si="3"/>
        <v>1.3623999999999974</v>
      </c>
      <c r="D50" s="2">
        <f t="shared" si="4"/>
        <v>0.6811999999999987</v>
      </c>
      <c r="E50" s="5">
        <f t="shared" si="0"/>
        <v>356.37768191999868</v>
      </c>
      <c r="F50" s="5">
        <f t="shared" si="5"/>
        <v>510.06041558424585</v>
      </c>
      <c r="G50" s="35">
        <f t="shared" si="1"/>
        <v>1.3752435560957237</v>
      </c>
      <c r="H50" s="4">
        <f t="shared" si="2"/>
        <v>0.26645474126552982</v>
      </c>
      <c r="I50" s="4">
        <f t="shared" si="6"/>
        <v>2.8335018413037757E-2</v>
      </c>
      <c r="J50" s="4">
        <f t="shared" si="10"/>
        <v>0.73694004937692281</v>
      </c>
      <c r="K50" s="4">
        <f t="shared" si="7"/>
        <v>8.6038121922674478</v>
      </c>
      <c r="L50" s="4">
        <f t="shared" si="8"/>
        <v>38.200926133667473</v>
      </c>
      <c r="M50" s="4">
        <f t="shared" si="9"/>
        <v>0.24378917689021687</v>
      </c>
    </row>
    <row r="51" spans="2:13" x14ac:dyDescent="0.3">
      <c r="B51" s="2">
        <v>25</v>
      </c>
      <c r="C51" s="2">
        <f t="shared" si="3"/>
        <v>1.3774999999999973</v>
      </c>
      <c r="D51" s="2">
        <f t="shared" si="4"/>
        <v>0.68874999999999864</v>
      </c>
      <c r="E51" s="5">
        <f t="shared" si="0"/>
        <v>364.32119999999856</v>
      </c>
      <c r="F51" s="5">
        <f t="shared" si="5"/>
        <v>524.681690381556</v>
      </c>
      <c r="G51" s="35">
        <f t="shared" si="1"/>
        <v>1.3796209157749861</v>
      </c>
      <c r="H51" s="4">
        <f t="shared" si="2"/>
        <v>0.26811665709765897</v>
      </c>
      <c r="I51" s="4">
        <f t="shared" si="6"/>
        <v>2.8159384358018392E-2</v>
      </c>
      <c r="J51" s="4">
        <f t="shared" si="10"/>
        <v>0.76509943373494116</v>
      </c>
      <c r="K51" s="4">
        <f t="shared" si="7"/>
        <v>8.8786178097974613</v>
      </c>
      <c r="L51" s="4">
        <f t="shared" si="8"/>
        <v>39.421063075500733</v>
      </c>
      <c r="M51" s="4">
        <f t="shared" si="9"/>
        <v>0.25001641147403414</v>
      </c>
    </row>
    <row r="52" spans="2:13" x14ac:dyDescent="0.3">
      <c r="B52" s="2">
        <v>26</v>
      </c>
      <c r="C52" s="2">
        <f t="shared" si="3"/>
        <v>1.3925999999999972</v>
      </c>
      <c r="D52" s="2">
        <f t="shared" si="4"/>
        <v>0.69629999999999859</v>
      </c>
      <c r="E52" s="5">
        <f t="shared" si="0"/>
        <v>372.35227391999854</v>
      </c>
      <c r="F52" s="5">
        <f t="shared" si="5"/>
        <v>539.55581703159112</v>
      </c>
      <c r="G52" s="35">
        <f t="shared" si="1"/>
        <v>1.3839223617095169</v>
      </c>
      <c r="H52" s="4">
        <f t="shared" si="2"/>
        <v>0.26977065061535754</v>
      </c>
      <c r="I52" s="4">
        <f t="shared" si="6"/>
        <v>2.798673607665678E-2</v>
      </c>
      <c r="J52" s="4">
        <f t="shared" si="10"/>
        <v>0.79308616981159796</v>
      </c>
      <c r="K52" s="4">
        <f t="shared" si="7"/>
        <v>9.1587834071197971</v>
      </c>
      <c r="L52" s="4">
        <f t="shared" si="8"/>
        <v>40.664998327611904</v>
      </c>
      <c r="M52" s="4">
        <f t="shared" si="9"/>
        <v>0.25632445399832515</v>
      </c>
    </row>
    <row r="53" spans="2:13" x14ac:dyDescent="0.3">
      <c r="B53" s="2">
        <v>27</v>
      </c>
      <c r="C53" s="2">
        <f t="shared" si="3"/>
        <v>1.4076999999999971</v>
      </c>
      <c r="D53" s="2">
        <f t="shared" si="4"/>
        <v>0.70384999999999853</v>
      </c>
      <c r="E53" s="5">
        <f t="shared" si="0"/>
        <v>380.4709036799984</v>
      </c>
      <c r="F53" s="5">
        <f t="shared" si="5"/>
        <v>554.68435537383448</v>
      </c>
      <c r="G53" s="35">
        <f t="shared" si="1"/>
        <v>1.3881501379785384</v>
      </c>
      <c r="H53" s="4">
        <f t="shared" si="2"/>
        <v>0.27141684487870482</v>
      </c>
      <c r="I53" s="4">
        <f t="shared" si="6"/>
        <v>2.781699125333973E-2</v>
      </c>
      <c r="J53" s="4">
        <f t="shared" si="10"/>
        <v>0.82090316106493766</v>
      </c>
      <c r="K53" s="4">
        <f t="shared" si="7"/>
        <v>9.4443492826668614</v>
      </c>
      <c r="L53" s="4">
        <f t="shared" si="8"/>
        <v>41.93291081504087</v>
      </c>
      <c r="M53" s="4">
        <f t="shared" si="9"/>
        <v>0.26271338138942946</v>
      </c>
    </row>
    <row r="54" spans="2:13" x14ac:dyDescent="0.3">
      <c r="B54" s="2">
        <v>28</v>
      </c>
      <c r="C54" s="2">
        <f t="shared" si="3"/>
        <v>1.422799999999997</v>
      </c>
      <c r="D54" s="2">
        <f t="shared" si="4"/>
        <v>0.71139999999999848</v>
      </c>
      <c r="E54" s="5">
        <f t="shared" si="0"/>
        <v>388.67708927999837</v>
      </c>
      <c r="F54" s="5">
        <f t="shared" si="5"/>
        <v>570.06885789228386</v>
      </c>
      <c r="G54" s="35">
        <f t="shared" si="1"/>
        <v>1.39230639540677</v>
      </c>
      <c r="H54" s="4">
        <f t="shared" si="2"/>
        <v>0.27305535973965372</v>
      </c>
      <c r="I54" s="4">
        <f t="shared" si="6"/>
        <v>2.7650070693351677E-2</v>
      </c>
      <c r="J54" s="4">
        <f t="shared" si="10"/>
        <v>0.84855323175828934</v>
      </c>
      <c r="K54" s="4">
        <f t="shared" si="7"/>
        <v>9.735355555977236</v>
      </c>
      <c r="L54" s="4">
        <f t="shared" si="8"/>
        <v>43.224978668538931</v>
      </c>
      <c r="M54" s="4">
        <f t="shared" si="9"/>
        <v>0.26918326934768461</v>
      </c>
    </row>
    <row r="55" spans="2:13" x14ac:dyDescent="0.3">
      <c r="B55" s="2">
        <v>29</v>
      </c>
      <c r="C55" s="2">
        <f t="shared" si="3"/>
        <v>1.4378999999999968</v>
      </c>
      <c r="D55" s="2">
        <f t="shared" si="4"/>
        <v>0.71894999999999842</v>
      </c>
      <c r="E55" s="5">
        <f t="shared" si="0"/>
        <v>396.97083071999822</v>
      </c>
      <c r="F55" s="5">
        <f t="shared" si="5"/>
        <v>585.71086982848863</v>
      </c>
      <c r="G55" s="35">
        <f t="shared" si="1"/>
        <v>1.3963931965431502</v>
      </c>
      <c r="H55" s="4">
        <f t="shared" si="2"/>
        <v>0.27468631195875221</v>
      </c>
      <c r="I55" s="4">
        <f t="shared" si="6"/>
        <v>2.748589817294475E-2</v>
      </c>
      <c r="J55" s="4">
        <f t="shared" si="10"/>
        <v>0.87603912993123412</v>
      </c>
      <c r="K55" s="4">
        <f t="shared" si="7"/>
        <v>10.031842170458589</v>
      </c>
      <c r="L55" s="4">
        <f t="shared" si="8"/>
        <v>44.541379236836136</v>
      </c>
      <c r="M55" s="4">
        <f t="shared" si="9"/>
        <v>0.27573419238427782</v>
      </c>
    </row>
    <row r="56" spans="2:13" x14ac:dyDescent="0.3">
      <c r="B56" s="2">
        <v>30</v>
      </c>
      <c r="C56" s="2">
        <f t="shared" si="3"/>
        <v>1.4529999999999967</v>
      </c>
      <c r="D56" s="2">
        <f t="shared" si="4"/>
        <v>0.72649999999999837</v>
      </c>
      <c r="E56" s="5">
        <f t="shared" si="0"/>
        <v>405.35212799999812</v>
      </c>
      <c r="F56" s="5">
        <f t="shared" si="5"/>
        <v>601.61192929167203</v>
      </c>
      <c r="G56" s="35">
        <f t="shared" si="1"/>
        <v>1.4004125203155453</v>
      </c>
      <c r="H56" s="4">
        <f t="shared" si="2"/>
        <v>0.27630981531643933</v>
      </c>
      <c r="I56" s="4">
        <f t="shared" si="6"/>
        <v>2.7324400298098291E-2</v>
      </c>
      <c r="J56" s="4">
        <f t="shared" si="10"/>
        <v>0.90336353022933236</v>
      </c>
      <c r="K56" s="4">
        <f t="shared" si="7"/>
        <v>10.333848896073903</v>
      </c>
      <c r="L56" s="4">
        <f t="shared" si="8"/>
        <v>45.88228909856813</v>
      </c>
      <c r="M56" s="4">
        <f t="shared" si="9"/>
        <v>0.28236622385638444</v>
      </c>
    </row>
    <row r="57" spans="2:13" x14ac:dyDescent="0.3">
      <c r="B57" s="2">
        <v>31</v>
      </c>
      <c r="C57" s="2">
        <f t="shared" si="3"/>
        <v>1.4680999999999966</v>
      </c>
      <c r="D57" s="2">
        <f t="shared" si="4"/>
        <v>0.73404999999999831</v>
      </c>
      <c r="E57" s="5">
        <f t="shared" si="0"/>
        <v>413.82098111999812</v>
      </c>
      <c r="F57" s="5">
        <f t="shared" si="5"/>
        <v>617.77356736604065</v>
      </c>
      <c r="G57" s="35">
        <f t="shared" si="1"/>
        <v>1.404366266386281</v>
      </c>
      <c r="H57" s="4">
        <f t="shared" si="2"/>
        <v>0.27792598071922137</v>
      </c>
      <c r="I57" s="4">
        <f t="shared" si="6"/>
        <v>2.7165506371379839E-2</v>
      </c>
      <c r="J57" s="4">
        <f t="shared" si="10"/>
        <v>0.93052903660071218</v>
      </c>
      <c r="K57" s="4">
        <f t="shared" si="7"/>
        <v>10.641415331954288</v>
      </c>
      <c r="L57" s="4">
        <f t="shared" si="8"/>
        <v>47.247884073877046</v>
      </c>
      <c r="M57" s="4">
        <f t="shared" si="9"/>
        <v>0.28907943600070335</v>
      </c>
    </row>
    <row r="58" spans="2:13" x14ac:dyDescent="0.3">
      <c r="B58" s="2">
        <v>32</v>
      </c>
      <c r="C58" s="2">
        <f t="shared" si="3"/>
        <v>1.4831999999999965</v>
      </c>
      <c r="D58" s="2">
        <f t="shared" si="4"/>
        <v>0.74159999999999826</v>
      </c>
      <c r="E58" s="5">
        <f t="shared" si="0"/>
        <v>422.37739007999807</v>
      </c>
      <c r="F58" s="5">
        <f t="shared" si="5"/>
        <v>634.19730821538792</v>
      </c>
      <c r="G58" s="35">
        <f t="shared" si="1"/>
        <v>1.4082562592311367</v>
      </c>
      <c r="H58" s="4">
        <f t="shared" si="2"/>
        <v>0.27953491630101507</v>
      </c>
      <c r="I58" s="4">
        <f t="shared" si="6"/>
        <v>2.700914826636483E-2</v>
      </c>
      <c r="J58" s="4">
        <f t="shared" si="10"/>
        <v>0.95753818486707698</v>
      </c>
      <c r="K58" s="4">
        <f t="shared" si="7"/>
        <v>10.954580908941546</v>
      </c>
      <c r="L58" s="4">
        <f t="shared" si="8"/>
        <v>48.638339235700471</v>
      </c>
      <c r="M58" s="4">
        <f t="shared" si="9"/>
        <v>0.29587389996549179</v>
      </c>
    </row>
    <row r="59" spans="2:13" x14ac:dyDescent="0.3">
      <c r="B59" s="2">
        <v>33</v>
      </c>
      <c r="C59" s="2">
        <f t="shared" si="3"/>
        <v>1.4982999999999964</v>
      </c>
      <c r="D59" s="2">
        <f t="shared" si="4"/>
        <v>0.74914999999999821</v>
      </c>
      <c r="E59" s="5">
        <f t="shared" ref="E59:E76" si="11">((3.14*(C59/2)^2)+((6.28*(C59/2))*D59))/(3.14*($C$7/2)^2)</f>
        <v>431.021354879998</v>
      </c>
      <c r="F59" s="5">
        <f t="shared" si="5"/>
        <v>650.88466918507777</v>
      </c>
      <c r="G59" s="35">
        <f t="shared" ref="G59:G78" si="12">(SQRT((2*($G$7^2)/($G$7-1))*((2/($G$7+1))^(($G$7+1)/($G$7-1)))*((1-($C$8/F59)^(($G$7-1)/$G$7)))))*0.9</f>
        <v>1.4120842519624741</v>
      </c>
      <c r="H59" s="4">
        <f t="shared" si="2"/>
        <v>0.28113672751992341</v>
      </c>
      <c r="I59" s="4">
        <f t="shared" si="6"/>
        <v>2.6855260309114008E-2</v>
      </c>
      <c r="J59" s="4">
        <f t="shared" si="10"/>
        <v>0.98439344517619098</v>
      </c>
      <c r="K59" s="4">
        <f t="shared" si="7"/>
        <v>11.273384892063151</v>
      </c>
      <c r="L59" s="4">
        <f t="shared" si="8"/>
        <v>50.053828920760395</v>
      </c>
      <c r="M59" s="4">
        <f t="shared" si="9"/>
        <v>0.30274968584118905</v>
      </c>
    </row>
    <row r="60" spans="2:13" x14ac:dyDescent="0.3">
      <c r="B60" s="2">
        <v>34</v>
      </c>
      <c r="C60" s="2">
        <f t="shared" si="3"/>
        <v>1.5133999999999963</v>
      </c>
      <c r="D60" s="2">
        <f t="shared" si="4"/>
        <v>0.75669999999999815</v>
      </c>
      <c r="E60" s="5">
        <f t="shared" si="11"/>
        <v>439.75287551999787</v>
      </c>
      <c r="F60" s="5">
        <f t="shared" si="5"/>
        <v>667.83716090150415</v>
      </c>
      <c r="G60" s="35">
        <f t="shared" si="12"/>
        <v>1.4158519299154062</v>
      </c>
      <c r="H60" s="4">
        <f t="shared" si="2"/>
        <v>0.28273151725069351</v>
      </c>
      <c r="I60" s="4">
        <f t="shared" si="6"/>
        <v>2.670377916624532E-2</v>
      </c>
      <c r="J60" s="4">
        <f t="shared" si="10"/>
        <v>1.0110972243424363</v>
      </c>
      <c r="K60" s="4">
        <f t="shared" si="7"/>
        <v>11.597866382942531</v>
      </c>
      <c r="L60" s="4">
        <f t="shared" si="8"/>
        <v>51.494526740264838</v>
      </c>
      <c r="M60" s="4">
        <f t="shared" si="9"/>
        <v>0.3097068626897177</v>
      </c>
    </row>
    <row r="61" spans="2:13" x14ac:dyDescent="0.3">
      <c r="B61" s="2">
        <v>35</v>
      </c>
      <c r="C61" s="2">
        <f t="shared" si="3"/>
        <v>1.5284999999999962</v>
      </c>
      <c r="D61" s="2">
        <f t="shared" si="4"/>
        <v>0.7642499999999981</v>
      </c>
      <c r="E61" s="5">
        <f t="shared" si="11"/>
        <v>448.57195199999779</v>
      </c>
      <c r="F61" s="5">
        <f t="shared" si="5"/>
        <v>685.05628736912081</v>
      </c>
      <c r="G61" s="35">
        <f t="shared" si="12"/>
        <v>1.4195609140142944</v>
      </c>
      <c r="H61" s="4">
        <f t="shared" si="2"/>
        <v>0.28431938587309269</v>
      </c>
      <c r="I61" s="4">
        <f t="shared" si="6"/>
        <v>2.6554643739171473E-2</v>
      </c>
      <c r="J61" s="4">
        <f t="shared" si="10"/>
        <v>1.0376518680816078</v>
      </c>
      <c r="K61" s="4">
        <f t="shared" si="7"/>
        <v>11.928064322147256</v>
      </c>
      <c r="L61" s="4">
        <f t="shared" si="8"/>
        <v>52.96060559033382</v>
      </c>
      <c r="M61" s="4">
        <f t="shared" si="9"/>
        <v>0.31674549857254225</v>
      </c>
    </row>
    <row r="62" spans="2:13" x14ac:dyDescent="0.3">
      <c r="B62" s="2">
        <v>36</v>
      </c>
      <c r="C62" s="2">
        <f t="shared" si="3"/>
        <v>1.5435999999999961</v>
      </c>
      <c r="D62" s="2">
        <f t="shared" si="4"/>
        <v>0.77179999999999804</v>
      </c>
      <c r="E62" s="5">
        <f t="shared" si="11"/>
        <v>457.47858431999771</v>
      </c>
      <c r="F62" s="5">
        <f t="shared" si="5"/>
        <v>702.54354606510867</v>
      </c>
      <c r="G62" s="35">
        <f t="shared" si="12"/>
        <v>1.4232127639354211</v>
      </c>
      <c r="H62" s="4">
        <f t="shared" si="2"/>
        <v>0.28590043135641785</v>
      </c>
      <c r="I62" s="4">
        <f t="shared" si="6"/>
        <v>2.6407795064106739E-2</v>
      </c>
      <c r="J62" s="4">
        <f t="shared" si="10"/>
        <v>1.0640596631457147</v>
      </c>
      <c r="K62" s="4">
        <f t="shared" si="7"/>
        <v>12.264017491477302</v>
      </c>
      <c r="L62" s="4">
        <f t="shared" si="8"/>
        <v>54.452237662159227</v>
      </c>
      <c r="M62" s="4">
        <f t="shared" si="9"/>
        <v>0.32386566057755301</v>
      </c>
    </row>
    <row r="63" spans="2:13" x14ac:dyDescent="0.3">
      <c r="B63" s="2">
        <v>37</v>
      </c>
      <c r="C63" s="2">
        <f t="shared" si="3"/>
        <v>1.558699999999996</v>
      </c>
      <c r="D63" s="2">
        <f t="shared" si="4"/>
        <v>0.77934999999999799</v>
      </c>
      <c r="E63" s="5">
        <f t="shared" si="11"/>
        <v>466.47277247999762</v>
      </c>
      <c r="F63" s="5">
        <f t="shared" si="5"/>
        <v>720.30042803177548</v>
      </c>
      <c r="G63" s="35">
        <f t="shared" si="12"/>
        <v>1.4268089810803681</v>
      </c>
      <c r="H63" s="4">
        <f t="shared" si="2"/>
        <v>0.28747474934034667</v>
      </c>
      <c r="I63" s="4">
        <f t="shared" si="6"/>
        <v>2.6263176217475065E-2</v>
      </c>
      <c r="J63" s="4">
        <f t="shared" si="10"/>
        <v>1.0903228393631896</v>
      </c>
      <c r="K63" s="4">
        <f t="shared" si="7"/>
        <v>12.605764516195936</v>
      </c>
      <c r="L63" s="4">
        <f t="shared" si="8"/>
        <v>55.969594451909963</v>
      </c>
      <c r="M63" s="4">
        <f t="shared" si="9"/>
        <v>0.3310674148448482</v>
      </c>
    </row>
    <row r="64" spans="2:13" x14ac:dyDescent="0.3">
      <c r="B64" s="2">
        <v>38</v>
      </c>
      <c r="C64" s="2">
        <f t="shared" si="3"/>
        <v>1.5737999999999959</v>
      </c>
      <c r="D64" s="2">
        <f t="shared" si="4"/>
        <v>0.78689999999999793</v>
      </c>
      <c r="E64" s="5">
        <f t="shared" si="11"/>
        <v>475.55451647999757</v>
      </c>
      <c r="F64" s="5">
        <f t="shared" si="5"/>
        <v>738.32841796675723</v>
      </c>
      <c r="G64" s="35">
        <f t="shared" si="12"/>
        <v>1.4303510113734457</v>
      </c>
      <c r="H64" s="4">
        <f t="shared" si="2"/>
        <v>0.28904243321232076</v>
      </c>
      <c r="I64" s="4">
        <f t="shared" si="6"/>
        <v>2.6120732226378764E-2</v>
      </c>
      <c r="J64" s="4">
        <f t="shared" si="10"/>
        <v>1.1164435715895684</v>
      </c>
      <c r="K64" s="4">
        <f t="shared" si="7"/>
        <v>12.953343867205286</v>
      </c>
      <c r="L64" s="4">
        <f t="shared" si="8"/>
        <v>57.512846770391477</v>
      </c>
      <c r="M64" s="4">
        <f t="shared" si="9"/>
        <v>0.33835082659147481</v>
      </c>
    </row>
    <row r="65" spans="1:13" x14ac:dyDescent="0.3">
      <c r="B65" s="2">
        <v>39</v>
      </c>
      <c r="C65" s="2">
        <f t="shared" si="3"/>
        <v>1.5888999999999958</v>
      </c>
      <c r="D65" s="2">
        <f t="shared" si="4"/>
        <v>0.79444999999999788</v>
      </c>
      <c r="E65" s="5">
        <f t="shared" si="11"/>
        <v>484.72381631999741</v>
      </c>
      <c r="F65" s="5">
        <f t="shared" si="5"/>
        <v>756.62899431109258</v>
      </c>
      <c r="G65" s="35">
        <f t="shared" si="12"/>
        <v>1.4338402478954251</v>
      </c>
      <c r="H65" s="4">
        <f t="shared" si="2"/>
        <v>0.2906035741816419</v>
      </c>
      <c r="I65" s="4">
        <f t="shared" si="6"/>
        <v>2.5980409983811376E-2</v>
      </c>
      <c r="J65" s="4">
        <f t="shared" si="10"/>
        <v>1.1424239815733799</v>
      </c>
      <c r="K65" s="4">
        <f t="shared" si="7"/>
        <v>13.306793863168568</v>
      </c>
      <c r="L65" s="4">
        <f t="shared" si="8"/>
        <v>59.082164752468451</v>
      </c>
      <c r="M65" s="4">
        <f t="shared" si="9"/>
        <v>0.34571596013518463</v>
      </c>
    </row>
    <row r="66" spans="1:13" x14ac:dyDescent="0.3">
      <c r="B66" s="2">
        <v>40</v>
      </c>
      <c r="C66" s="2">
        <f t="shared" si="3"/>
        <v>1.6039999999999957</v>
      </c>
      <c r="D66" s="2">
        <f t="shared" si="4"/>
        <v>0.80199999999999783</v>
      </c>
      <c r="E66" s="5">
        <f t="shared" si="11"/>
        <v>493.98067199999724</v>
      </c>
      <c r="F66" s="5">
        <f t="shared" si="5"/>
        <v>775.2036293352503</v>
      </c>
      <c r="G66" s="35">
        <f t="shared" si="12"/>
        <v>1.4372780333648612</v>
      </c>
      <c r="H66" s="4">
        <f t="shared" si="2"/>
        <v>0.29215826135045181</v>
      </c>
      <c r="I66" s="4">
        <f t="shared" si="6"/>
        <v>2.5842158168320858E-2</v>
      </c>
      <c r="J66" s="4">
        <f t="shared" si="10"/>
        <v>1.1682661397417007</v>
      </c>
      <c r="K66" s="4">
        <f t="shared" si="7"/>
        <v>13.666152672581141</v>
      </c>
      <c r="L66" s="4">
        <f t="shared" si="8"/>
        <v>60.677717866260274</v>
      </c>
      <c r="M66" s="4">
        <f t="shared" si="9"/>
        <v>0.35316287891726267</v>
      </c>
    </row>
    <row r="67" spans="1:13" x14ac:dyDescent="0.3">
      <c r="B67" s="2">
        <v>41</v>
      </c>
      <c r="C67" s="2">
        <f t="shared" si="3"/>
        <v>1.6190999999999955</v>
      </c>
      <c r="D67" s="2">
        <f t="shared" si="4"/>
        <v>0.80954999999999777</v>
      </c>
      <c r="E67" s="5">
        <f t="shared" si="11"/>
        <v>503.32508351999718</v>
      </c>
      <c r="F67" s="5">
        <f t="shared" si="5"/>
        <v>794.05378922315651</v>
      </c>
      <c r="G67" s="35">
        <f t="shared" si="12"/>
        <v>1.4406656624773877</v>
      </c>
      <c r="H67" s="4">
        <f t="shared" si="2"/>
        <v>0.29370658178175252</v>
      </c>
      <c r="I67" s="4">
        <f t="shared" si="6"/>
        <v>2.5705927167850303E-2</v>
      </c>
      <c r="J67" s="4">
        <f t="shared" si="10"/>
        <v>1.193972066909551</v>
      </c>
      <c r="K67" s="4">
        <f t="shared" si="7"/>
        <v>14.031458315791863</v>
      </c>
      <c r="L67" s="4">
        <f t="shared" si="8"/>
        <v>62.299674922115877</v>
      </c>
      <c r="M67" s="4">
        <f t="shared" si="9"/>
        <v>0.36069164552447308</v>
      </c>
    </row>
    <row r="68" spans="1:13" x14ac:dyDescent="0.3">
      <c r="B68" s="2">
        <v>42</v>
      </c>
      <c r="C68" s="2">
        <f t="shared" si="3"/>
        <v>1.6341999999999954</v>
      </c>
      <c r="D68" s="2">
        <f t="shared" si="4"/>
        <v>0.81709999999999772</v>
      </c>
      <c r="E68" s="5">
        <f t="shared" si="11"/>
        <v>512.75705087999711</v>
      </c>
      <c r="F68" s="5">
        <f t="shared" si="5"/>
        <v>813.18093415431235</v>
      </c>
      <c r="G68" s="35">
        <f t="shared" si="12"/>
        <v>1.4440043841125585</v>
      </c>
      <c r="H68" s="4">
        <f t="shared" si="2"/>
        <v>0.29524862056461892</v>
      </c>
      <c r="I68" s="4">
        <f t="shared" si="6"/>
        <v>2.5571669007502053E-2</v>
      </c>
      <c r="J68" s="4">
        <f t="shared" si="10"/>
        <v>1.2195437359170531</v>
      </c>
      <c r="K68" s="4">
        <f t="shared" si="7"/>
        <v>14.402748666976947</v>
      </c>
      <c r="L68" s="4">
        <f t="shared" si="8"/>
        <v>63.948204081377654</v>
      </c>
      <c r="M68" s="4">
        <f t="shared" si="9"/>
        <v>0.36830232171017591</v>
      </c>
    </row>
    <row r="69" spans="1:13" x14ac:dyDescent="0.3">
      <c r="B69" s="2">
        <v>43</v>
      </c>
      <c r="C69" s="2">
        <f t="shared" si="3"/>
        <v>1.6492999999999953</v>
      </c>
      <c r="D69" s="2">
        <f t="shared" si="4"/>
        <v>0.82464999999999766</v>
      </c>
      <c r="E69" s="5">
        <f t="shared" si="11"/>
        <v>522.27657407999709</v>
      </c>
      <c r="F69" s="5">
        <f t="shared" si="5"/>
        <v>832.58651838404137</v>
      </c>
      <c r="G69" s="35">
        <f t="shared" si="12"/>
        <v>1.4472954034170653</v>
      </c>
      <c r="H69" s="4">
        <f t="shared" si="2"/>
        <v>0.29678446087674387</v>
      </c>
      <c r="I69" s="4">
        <f t="shared" si="6"/>
        <v>2.5439337280989089E-2</v>
      </c>
      <c r="J69" s="4">
        <f t="shared" si="10"/>
        <v>1.2449830731980422</v>
      </c>
      <c r="K69" s="4">
        <f t="shared" si="7"/>
        <v>14.780061456067646</v>
      </c>
      <c r="L69" s="4">
        <f t="shared" si="8"/>
        <v>65.623472864940354</v>
      </c>
      <c r="M69" s="4">
        <f t="shared" si="9"/>
        <v>0.37599496841465152</v>
      </c>
    </row>
    <row r="70" spans="1:13" x14ac:dyDescent="0.3">
      <c r="B70" s="2">
        <v>44</v>
      </c>
      <c r="C70" s="2">
        <f t="shared" si="3"/>
        <v>1.6643999999999952</v>
      </c>
      <c r="D70" s="2">
        <f t="shared" si="4"/>
        <v>0.83219999999999761</v>
      </c>
      <c r="E70" s="5">
        <f t="shared" si="11"/>
        <v>531.88365311999701</v>
      </c>
      <c r="F70" s="5">
        <f t="shared" si="5"/>
        <v>852.27199032193698</v>
      </c>
      <c r="G70" s="35">
        <f t="shared" si="12"/>
        <v>1.4505398837724885</v>
      </c>
      <c r="H70" s="4">
        <f t="shared" si="2"/>
        <v>0.29831418404444754</v>
      </c>
      <c r="I70" s="4">
        <f t="shared" si="6"/>
        <v>2.5308887085553667E-2</v>
      </c>
      <c r="J70" s="4">
        <f t="shared" si="10"/>
        <v>1.2702919602835958</v>
      </c>
      <c r="K70" s="4">
        <f t="shared" si="7"/>
        <v>15.16343427063347</v>
      </c>
      <c r="L70" s="4">
        <f t="shared" si="8"/>
        <v>67.325648161612619</v>
      </c>
      <c r="M70" s="4">
        <f t="shared" si="9"/>
        <v>0.38376964578467732</v>
      </c>
    </row>
    <row r="71" spans="1:13" x14ac:dyDescent="0.3">
      <c r="B71" s="2">
        <v>45</v>
      </c>
      <c r="C71" s="2">
        <f t="shared" si="3"/>
        <v>1.6794999999999951</v>
      </c>
      <c r="D71" s="2">
        <f t="shared" si="4"/>
        <v>0.83974999999999755</v>
      </c>
      <c r="E71" s="5">
        <f t="shared" si="11"/>
        <v>541.57828799999686</v>
      </c>
      <c r="F71" s="5">
        <f t="shared" si="5"/>
        <v>872.23879260856108</v>
      </c>
      <c r="G71" s="35">
        <f t="shared" si="12"/>
        <v>1.4537389486551162</v>
      </c>
      <c r="H71" s="4">
        <f t="shared" si="2"/>
        <v>0.29983786960027642</v>
      </c>
      <c r="I71" s="4">
        <f t="shared" si="6"/>
        <v>2.5180274960148123E-2</v>
      </c>
      <c r="J71" s="4">
        <f t="shared" si="10"/>
        <v>1.295472235243744</v>
      </c>
      <c r="K71" s="4">
        <f t="shared" si="7"/>
        <v>15.55290455772246</v>
      </c>
      <c r="L71" s="4">
        <f t="shared" si="8"/>
        <v>69.054896236287732</v>
      </c>
      <c r="M71" s="4">
        <f t="shared" si="9"/>
        <v>0.3916264131923925</v>
      </c>
    </row>
    <row r="72" spans="1:13" x14ac:dyDescent="0.3">
      <c r="B72" s="2">
        <v>46</v>
      </c>
      <c r="C72" s="2">
        <f t="shared" si="3"/>
        <v>1.694599999999995</v>
      </c>
      <c r="D72" s="2">
        <f t="shared" si="4"/>
        <v>0.8472999999999975</v>
      </c>
      <c r="E72" s="5">
        <f t="shared" si="11"/>
        <v>551.36047871999665</v>
      </c>
      <c r="F72" s="5">
        <f t="shared" si="5"/>
        <v>892.48836219045734</v>
      </c>
      <c r="G72" s="35">
        <f t="shared" si="12"/>
        <v>1.456893683394805</v>
      </c>
      <c r="H72" s="4">
        <f t="shared" si="2"/>
        <v>0.30135559533831013</v>
      </c>
      <c r="I72" s="4">
        <f t="shared" si="6"/>
        <v>2.5053458826686657E-2</v>
      </c>
      <c r="J72" s="4">
        <f t="shared" si="10"/>
        <v>1.3205256940704306</v>
      </c>
      <c r="K72" s="4">
        <f t="shared" si="7"/>
        <v>15.948509625660032</v>
      </c>
      <c r="L72" s="4">
        <f t="shared" si="8"/>
        <v>70.811382737930543</v>
      </c>
      <c r="M72" s="4">
        <f t="shared" si="9"/>
        <v>0.39956532925348942</v>
      </c>
    </row>
    <row r="73" spans="1:13" x14ac:dyDescent="0.3">
      <c r="B73" s="2">
        <v>47</v>
      </c>
      <c r="C73" s="2">
        <f t="shared" si="3"/>
        <v>1.7096999999999949</v>
      </c>
      <c r="D73" s="2">
        <f t="shared" si="4"/>
        <v>0.85484999999999745</v>
      </c>
      <c r="E73" s="5">
        <f t="shared" si="11"/>
        <v>561.23022527999672</v>
      </c>
      <c r="F73" s="5">
        <f t="shared" si="5"/>
        <v>913.02213039351898</v>
      </c>
      <c r="G73" s="35">
        <f t="shared" si="12"/>
        <v>1.460005136839333</v>
      </c>
      <c r="H73" s="4">
        <f t="shared" si="2"/>
        <v>0.30286743736728527</v>
      </c>
      <c r="I73" s="4">
        <f t="shared" si="6"/>
        <v>2.4928397934189817E-2</v>
      </c>
      <c r="J73" s="4">
        <f t="shared" si="10"/>
        <v>1.3454540920046205</v>
      </c>
      <c r="K73" s="4">
        <f t="shared" si="7"/>
        <v>16.350286645807586</v>
      </c>
      <c r="L73" s="4">
        <f t="shared" si="8"/>
        <v>72.595272707385689</v>
      </c>
      <c r="M73" s="4">
        <f t="shared" si="9"/>
        <v>0.40758645184476117</v>
      </c>
    </row>
    <row r="74" spans="1:13" x14ac:dyDescent="0.3">
      <c r="B74" s="2">
        <v>48</v>
      </c>
      <c r="C74" s="2">
        <f t="shared" si="3"/>
        <v>1.7247999999999948</v>
      </c>
      <c r="D74" s="2">
        <f t="shared" si="4"/>
        <v>0.86239999999999739</v>
      </c>
      <c r="E74" s="5">
        <f t="shared" si="11"/>
        <v>571.18752767999661</v>
      </c>
      <c r="F74" s="5">
        <f t="shared" si="5"/>
        <v>933.84152299476614</v>
      </c>
      <c r="G74" s="35">
        <f t="shared" si="12"/>
        <v>1.4630743229302277</v>
      </c>
      <c r="H74" s="4">
        <f t="shared" si="2"/>
        <v>0.30437347016164312</v>
      </c>
      <c r="I74" s="4">
        <f t="shared" si="6"/>
        <v>2.480505280565495E-2</v>
      </c>
      <c r="J74" s="4">
        <f t="shared" si="10"/>
        <v>1.3702591448102754</v>
      </c>
      <c r="K74" s="4">
        <f t="shared" si="7"/>
        <v>16.758272654282258</v>
      </c>
      <c r="L74" s="4">
        <f t="shared" si="8"/>
        <v>74.406730585013236</v>
      </c>
      <c r="M74" s="4">
        <f t="shared" si="9"/>
        <v>0.41568983812103477</v>
      </c>
    </row>
    <row r="75" spans="1:13" x14ac:dyDescent="0.3">
      <c r="B75" s="2">
        <v>49</v>
      </c>
      <c r="C75" s="2">
        <f t="shared" si="3"/>
        <v>1.7398999999999947</v>
      </c>
      <c r="D75" s="2">
        <f t="shared" si="4"/>
        <v>0.86994999999999734</v>
      </c>
      <c r="E75" s="5">
        <f t="shared" si="11"/>
        <v>581.23238591999643</v>
      </c>
      <c r="F75" s="5">
        <f t="shared" si="5"/>
        <v>954.94796029258418</v>
      </c>
      <c r="G75" s="35">
        <f t="shared" si="12"/>
        <v>1.4661022221956139</v>
      </c>
      <c r="H75" s="4">
        <f t="shared" si="2"/>
        <v>0.30587376661059695</v>
      </c>
      <c r="I75" s="4">
        <f t="shared" si="6"/>
        <v>2.4683385187497246E-2</v>
      </c>
      <c r="J75" s="4">
        <f t="shared" si="10"/>
        <v>1.3949425299977727</v>
      </c>
      <c r="K75" s="4">
        <f t="shared" si="7"/>
        <v>17.172504553639207</v>
      </c>
      <c r="L75" s="4">
        <f t="shared" si="8"/>
        <v>76.245920218158091</v>
      </c>
      <c r="M75" s="4">
        <f t="shared" si="9"/>
        <v>0.42387554453152698</v>
      </c>
    </row>
    <row r="76" spans="1:13" x14ac:dyDescent="0.3">
      <c r="B76" s="2">
        <v>50</v>
      </c>
      <c r="C76" s="2">
        <f t="shared" si="3"/>
        <v>1.7549999999999946</v>
      </c>
      <c r="D76" s="2">
        <f t="shared" si="4"/>
        <v>0.87749999999999728</v>
      </c>
      <c r="E76" s="5">
        <f t="shared" si="11"/>
        <v>591.36479999999631</v>
      </c>
      <c r="F76" s="5">
        <f t="shared" si="5"/>
        <v>976.34285717547459</v>
      </c>
      <c r="G76" s="35">
        <f t="shared" si="12"/>
        <v>1.4690897831652272</v>
      </c>
      <c r="H76" s="4">
        <f t="shared" si="2"/>
        <v>0.30736839806531574</v>
      </c>
      <c r="I76" s="4">
        <f t="shared" si="6"/>
        <v>2.4563358001415698E-2</v>
      </c>
      <c r="J76" s="4">
        <f t="shared" si="10"/>
        <v>1.4195058879991884</v>
      </c>
      <c r="K76" s="4">
        <f t="shared" si="7"/>
        <v>17.593019114517602</v>
      </c>
      <c r="L76" s="4">
        <f t="shared" si="8"/>
        <v>78.113004868458162</v>
      </c>
      <c r="M76" s="4">
        <f t="shared" si="9"/>
        <v>0.43214362683564528</v>
      </c>
    </row>
    <row r="77" spans="1:13" x14ac:dyDescent="0.3">
      <c r="B77" s="2">
        <v>51</v>
      </c>
      <c r="C77" s="2">
        <f>C3</f>
        <v>1.7549999999999999</v>
      </c>
      <c r="D77" s="2">
        <v>0</v>
      </c>
      <c r="E77" s="5">
        <f>((3.14*(C77/2)^2)/(3.14*($C$7/2)^2))</f>
        <v>197.12159999999997</v>
      </c>
      <c r="F77" s="5">
        <f t="shared" si="5"/>
        <v>238.73079101712469</v>
      </c>
      <c r="G77" s="35">
        <f t="shared" si="12"/>
        <v>1.2455952607184984</v>
      </c>
      <c r="H77" s="4">
        <f t="shared" si="2"/>
        <v>0.2254688512273639</v>
      </c>
      <c r="I77" s="4">
        <f>$L$4/H77</f>
        <v>3.3485778451882657E-2</v>
      </c>
      <c r="J77" s="4">
        <f>J76+I77</f>
        <v>1.4529916664510711</v>
      </c>
      <c r="K77" s="4">
        <f t="shared" si="7"/>
        <v>3.6473300683535843</v>
      </c>
      <c r="L77" s="4">
        <f t="shared" si="8"/>
        <v>16.194145503489917</v>
      </c>
      <c r="M77" s="4">
        <f t="shared" si="9"/>
        <v>0.12213368660977815</v>
      </c>
    </row>
    <row r="78" spans="1:13" x14ac:dyDescent="0.3">
      <c r="B78" s="2">
        <v>52</v>
      </c>
      <c r="C78" s="2">
        <f>C3</f>
        <v>1.7549999999999999</v>
      </c>
      <c r="D78" s="2">
        <v>0</v>
      </c>
      <c r="E78" s="5">
        <f>((3.14*(C78/2)^2)/(3.14*($C$7/2)^2))</f>
        <v>197.12159999999997</v>
      </c>
      <c r="F78" s="5">
        <f t="shared" si="5"/>
        <v>238.73079101712469</v>
      </c>
      <c r="G78" s="35">
        <f t="shared" si="12"/>
        <v>1.2455952607184984</v>
      </c>
      <c r="H78" s="4">
        <f t="shared" si="2"/>
        <v>0.2254688512273639</v>
      </c>
      <c r="I78" s="4">
        <f>(C6-L4)/H78</f>
        <v>33.230532551232884</v>
      </c>
      <c r="J78" s="4">
        <f>J76+I78</f>
        <v>34.65003843923207</v>
      </c>
      <c r="K78" s="4">
        <f>(3.14*($C$7/2)^2)*F78*G78</f>
        <v>3.6473300683535843</v>
      </c>
      <c r="L78" s="4">
        <f>K78*4.44</f>
        <v>16.194145503489917</v>
      </c>
      <c r="M78" s="4">
        <f t="shared" si="9"/>
        <v>121.20272056151424</v>
      </c>
    </row>
    <row r="79" spans="1:13" x14ac:dyDescent="0.3">
      <c r="A79" s="1" t="s">
        <v>21</v>
      </c>
      <c r="B79" s="2">
        <v>53</v>
      </c>
      <c r="C79" s="2">
        <v>0</v>
      </c>
      <c r="D79" s="2">
        <v>0</v>
      </c>
      <c r="E79" s="5">
        <v>0</v>
      </c>
      <c r="F79" s="5">
        <v>0</v>
      </c>
      <c r="G79" s="5">
        <v>0</v>
      </c>
      <c r="H79" s="5">
        <v>0</v>
      </c>
      <c r="I79" s="4">
        <f>I76</f>
        <v>2.4563358001415698E-2</v>
      </c>
      <c r="J79" s="4">
        <f>J78+I79</f>
        <v>34.674601797233485</v>
      </c>
      <c r="K79" s="2">
        <v>0</v>
      </c>
      <c r="L79" s="4">
        <f>K79*4.44</f>
        <v>0</v>
      </c>
      <c r="M79" s="4">
        <f t="shared" si="9"/>
        <v>0</v>
      </c>
    </row>
  </sheetData>
  <mergeCells count="4">
    <mergeCell ref="A2:D2"/>
    <mergeCell ref="E2:H2"/>
    <mergeCell ref="I2:M2"/>
    <mergeCell ref="A13:D13"/>
  </mergeCells>
  <pageMargins left="0.7" right="0.7" top="0.75" bottom="0.75" header="0.3" footer="0.3"/>
  <pageSetup orientation="portrait" r:id="rId1"/>
  <ignoredErrors>
    <ignoredError sqref="J7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6DF5-F673-4BE3-859E-1BD45603AB53}">
  <dimension ref="A2:I72"/>
  <sheetViews>
    <sheetView showGridLines="0" zoomScaleNormal="100" workbookViewId="0">
      <selection activeCell="C3" sqref="C3"/>
    </sheetView>
  </sheetViews>
  <sheetFormatPr defaultRowHeight="14.4" x14ac:dyDescent="0.3"/>
  <cols>
    <col min="1" max="1" width="14.5546875" customWidth="1"/>
    <col min="2" max="2" width="9.21875" customWidth="1"/>
    <col min="3" max="3" width="9.33203125" customWidth="1"/>
    <col min="4" max="4" width="11.6640625" bestFit="1" customWidth="1"/>
    <col min="5" max="5" width="12.5546875" customWidth="1"/>
    <col min="6" max="6" width="10.88671875" customWidth="1"/>
    <col min="7" max="7" width="11.6640625" customWidth="1"/>
    <col min="8" max="8" width="10.5546875" customWidth="1"/>
    <col min="9" max="9" width="8.44140625" customWidth="1"/>
    <col min="10" max="10" width="10.21875" customWidth="1"/>
    <col min="11" max="11" width="9.88671875" customWidth="1"/>
    <col min="14" max="14" width="7" customWidth="1"/>
    <col min="15" max="15" width="9.77734375" bestFit="1" customWidth="1"/>
    <col min="18" max="18" width="7.5546875" customWidth="1"/>
  </cols>
  <sheetData>
    <row r="2" spans="1:9" ht="21" x14ac:dyDescent="0.4">
      <c r="A2" s="40" t="s">
        <v>0</v>
      </c>
      <c r="B2" s="40"/>
      <c r="C2" s="40"/>
      <c r="D2" s="40"/>
      <c r="E2" s="40" t="s">
        <v>1</v>
      </c>
      <c r="F2" s="40"/>
      <c r="G2" s="40"/>
      <c r="H2" s="40"/>
      <c r="I2" s="7"/>
    </row>
    <row r="3" spans="1:9" x14ac:dyDescent="0.3">
      <c r="B3" s="1" t="s">
        <v>6</v>
      </c>
      <c r="C3" s="18">
        <v>1.7549999999999999</v>
      </c>
      <c r="D3" s="3" t="s">
        <v>9</v>
      </c>
      <c r="F3" s="1" t="s">
        <v>2</v>
      </c>
      <c r="G3" s="18">
        <v>6.2E-2</v>
      </c>
      <c r="H3" t="s">
        <v>3</v>
      </c>
    </row>
    <row r="4" spans="1:9" x14ac:dyDescent="0.3">
      <c r="B4" s="1" t="s">
        <v>15</v>
      </c>
      <c r="C4" s="18">
        <v>8.5</v>
      </c>
      <c r="D4" s="3" t="s">
        <v>9</v>
      </c>
      <c r="F4" s="1" t="s">
        <v>4</v>
      </c>
      <c r="G4" s="18">
        <v>6.7599999999999993E-2</v>
      </c>
      <c r="H4" t="s">
        <v>35</v>
      </c>
    </row>
    <row r="5" spans="1:9" x14ac:dyDescent="0.3">
      <c r="B5" s="1" t="s">
        <v>65</v>
      </c>
      <c r="C5" s="18">
        <v>0.125</v>
      </c>
      <c r="D5" s="3" t="s">
        <v>9</v>
      </c>
      <c r="F5" s="1" t="s">
        <v>5</v>
      </c>
      <c r="G5" s="18">
        <v>0.22</v>
      </c>
    </row>
    <row r="6" spans="1:9" x14ac:dyDescent="0.3">
      <c r="B6" s="1" t="s">
        <v>68</v>
      </c>
      <c r="C6" s="18">
        <v>14.7</v>
      </c>
      <c r="D6" s="3" t="s">
        <v>69</v>
      </c>
      <c r="F6" s="1" t="s">
        <v>10</v>
      </c>
      <c r="G6" s="18">
        <v>885</v>
      </c>
      <c r="H6" t="s">
        <v>12</v>
      </c>
    </row>
    <row r="7" spans="1:9" x14ac:dyDescent="0.3">
      <c r="B7" s="1" t="s">
        <v>13</v>
      </c>
      <c r="C7" s="4">
        <f>((((3.14*(C3/2)^2)*C4)*G3))</f>
        <v>1.274190942375</v>
      </c>
      <c r="D7" s="3" t="s">
        <v>14</v>
      </c>
      <c r="F7" s="1" t="s">
        <v>67</v>
      </c>
      <c r="G7" s="18">
        <v>1.137</v>
      </c>
    </row>
    <row r="8" spans="1:9" x14ac:dyDescent="0.3">
      <c r="B8" s="1"/>
      <c r="C8" s="6"/>
      <c r="D8" s="3"/>
    </row>
    <row r="9" spans="1:9" ht="20.399999999999999" x14ac:dyDescent="0.35">
      <c r="A9" s="40" t="s">
        <v>22</v>
      </c>
      <c r="B9" s="40"/>
      <c r="C9" s="40"/>
      <c r="D9" s="40"/>
    </row>
    <row r="10" spans="1:9" x14ac:dyDescent="0.3">
      <c r="B10" s="1" t="s">
        <v>23</v>
      </c>
      <c r="C10" s="5">
        <f>C12*C13</f>
        <v>137.50150148120721</v>
      </c>
      <c r="D10" s="3" t="s">
        <v>24</v>
      </c>
    </row>
    <row r="11" spans="1:9" x14ac:dyDescent="0.3">
      <c r="B11" s="1" t="s">
        <v>23</v>
      </c>
      <c r="C11" s="5">
        <f>C10*4.44</f>
        <v>610.50666657656006</v>
      </c>
      <c r="D11" s="3" t="s">
        <v>25</v>
      </c>
    </row>
    <row r="12" spans="1:9" x14ac:dyDescent="0.3">
      <c r="B12" s="1" t="s">
        <v>27</v>
      </c>
      <c r="C12" s="35">
        <f>$C$4/$F$20</f>
        <v>37.699220773642736</v>
      </c>
      <c r="D12" s="3" t="s">
        <v>28</v>
      </c>
    </row>
    <row r="13" spans="1:9" x14ac:dyDescent="0.3">
      <c r="B13" s="1" t="s">
        <v>26</v>
      </c>
      <c r="C13" s="35">
        <f>(3.14*($C$5/2)^2)*$D$20*$E$20</f>
        <v>3.6473300683535843</v>
      </c>
      <c r="D13" s="3" t="s">
        <v>29</v>
      </c>
      <c r="E13" s="3"/>
      <c r="F13" s="3"/>
      <c r="G13" s="3"/>
    </row>
    <row r="14" spans="1:9" x14ac:dyDescent="0.3">
      <c r="B14" s="1" t="s">
        <v>26</v>
      </c>
      <c r="C14" s="5">
        <f>C13*4.44</f>
        <v>16.194145503489917</v>
      </c>
      <c r="D14" s="3" t="s">
        <v>30</v>
      </c>
      <c r="E14" s="3"/>
      <c r="F14" s="3"/>
      <c r="G14" s="3"/>
    </row>
    <row r="15" spans="1:9" x14ac:dyDescent="0.3">
      <c r="B15" s="1" t="s">
        <v>52</v>
      </c>
      <c r="C15" s="5">
        <f>C10/C7</f>
        <v>107.91279148862441</v>
      </c>
      <c r="D15" s="3" t="s">
        <v>28</v>
      </c>
      <c r="E15" s="3"/>
      <c r="F15" s="3"/>
      <c r="G15" s="3"/>
    </row>
    <row r="16" spans="1:9" x14ac:dyDescent="0.3">
      <c r="B16" s="1" t="s">
        <v>70</v>
      </c>
      <c r="C16" s="5">
        <f>MAX(D20:D20)</f>
        <v>238.73079101712469</v>
      </c>
      <c r="D16" s="3" t="s">
        <v>69</v>
      </c>
      <c r="E16" s="3"/>
      <c r="F16" s="3"/>
      <c r="G16" s="3"/>
    </row>
    <row r="17" spans="1:7" x14ac:dyDescent="0.3">
      <c r="B17" s="1" t="s">
        <v>107</v>
      </c>
      <c r="C17" s="4" t="str">
        <f>VLOOKUP(C11,'Motor Classification'!B3:C21,2,TRUE)</f>
        <v>I</v>
      </c>
      <c r="D17" s="3"/>
      <c r="E17" s="3"/>
      <c r="F17" s="3"/>
    </row>
    <row r="18" spans="1:7" x14ac:dyDescent="0.3">
      <c r="G18" s="3"/>
    </row>
    <row r="19" spans="1:7" ht="28.8" x14ac:dyDescent="0.3">
      <c r="B19" s="9" t="s">
        <v>82</v>
      </c>
      <c r="C19" s="9" t="s">
        <v>11</v>
      </c>
      <c r="D19" s="9" t="s">
        <v>57</v>
      </c>
      <c r="E19" s="9" t="s">
        <v>66</v>
      </c>
      <c r="F19" s="9" t="s">
        <v>58</v>
      </c>
      <c r="G19" s="3"/>
    </row>
    <row r="20" spans="1:7" x14ac:dyDescent="0.3">
      <c r="B20" s="2">
        <f>C3</f>
        <v>1.7549999999999999</v>
      </c>
      <c r="C20" s="5">
        <f>((3.14*(B20/2)^2)/(3.14*($C$5/2)^2))</f>
        <v>197.12159999999997</v>
      </c>
      <c r="D20" s="5">
        <f t="shared" ref="D20" si="0">(((C20*$G$3*$G$4*($G$6*39.37))/(386.4))^(1/(1-$G$5)))*0.95</f>
        <v>238.73079101712469</v>
      </c>
      <c r="E20" s="35">
        <f>(SQRT((2*($G$7^2)/($G$7-1))*((2/($G$7+1))^(($G$7+1)/($G$7-1)))*((1-($C$6/D20)^(($G$7-1)/$G$7)))))*0.9</f>
        <v>1.2455952607184984</v>
      </c>
      <c r="F20" s="4">
        <f>$G$4*D20^$G$5</f>
        <v>0.2254688512273639</v>
      </c>
      <c r="G20" s="3"/>
    </row>
    <row r="21" spans="1:7" x14ac:dyDescent="0.3">
      <c r="A21" s="1"/>
      <c r="G21" s="3"/>
    </row>
    <row r="22" spans="1:7" x14ac:dyDescent="0.3">
      <c r="B22" s="2" t="s">
        <v>60</v>
      </c>
      <c r="C22" s="2" t="s">
        <v>16</v>
      </c>
      <c r="D22" s="2" t="s">
        <v>31</v>
      </c>
      <c r="G22" s="3"/>
    </row>
    <row r="23" spans="1:7" x14ac:dyDescent="0.3">
      <c r="B23" s="2">
        <v>0</v>
      </c>
      <c r="C23" s="2">
        <v>0</v>
      </c>
      <c r="D23" s="2">
        <v>0</v>
      </c>
    </row>
    <row r="24" spans="1:7" x14ac:dyDescent="0.3">
      <c r="B24" s="2">
        <v>0</v>
      </c>
      <c r="C24" s="35">
        <f>C13</f>
        <v>3.6473300683535843</v>
      </c>
      <c r="D24" s="5">
        <f>C24*4.44</f>
        <v>16.194145503489917</v>
      </c>
    </row>
    <row r="25" spans="1:7" x14ac:dyDescent="0.3">
      <c r="B25" s="35">
        <f>C12/30</f>
        <v>1.256640692454758</v>
      </c>
      <c r="C25" s="35">
        <f>C24</f>
        <v>3.6473300683535843</v>
      </c>
      <c r="D25" s="5">
        <f>D24</f>
        <v>16.194145503489917</v>
      </c>
    </row>
    <row r="26" spans="1:7" x14ac:dyDescent="0.3">
      <c r="B26" s="35">
        <f>B25+($C$12/30)</f>
        <v>2.5132813849095159</v>
      </c>
      <c r="C26" s="35">
        <f t="shared" ref="C26:C54" si="1">C25</f>
        <v>3.6473300683535843</v>
      </c>
      <c r="D26" s="5">
        <f t="shared" ref="D26:D54" si="2">D25</f>
        <v>16.194145503489917</v>
      </c>
    </row>
    <row r="27" spans="1:7" x14ac:dyDescent="0.3">
      <c r="B27" s="35">
        <f t="shared" ref="B27:B54" si="3">B26+($C$12/30)</f>
        <v>3.7699220773642739</v>
      </c>
      <c r="C27" s="35">
        <f t="shared" si="1"/>
        <v>3.6473300683535843</v>
      </c>
      <c r="D27" s="5">
        <f t="shared" si="2"/>
        <v>16.194145503489917</v>
      </c>
    </row>
    <row r="28" spans="1:7" x14ac:dyDescent="0.3">
      <c r="B28" s="35">
        <f t="shared" si="3"/>
        <v>5.0265627698190318</v>
      </c>
      <c r="C28" s="35">
        <f t="shared" si="1"/>
        <v>3.6473300683535843</v>
      </c>
      <c r="D28" s="5">
        <f t="shared" si="2"/>
        <v>16.194145503489917</v>
      </c>
    </row>
    <row r="29" spans="1:7" x14ac:dyDescent="0.3">
      <c r="B29" s="35">
        <f t="shared" si="3"/>
        <v>6.2832034622737893</v>
      </c>
      <c r="C29" s="35">
        <f t="shared" si="1"/>
        <v>3.6473300683535843</v>
      </c>
      <c r="D29" s="5">
        <f t="shared" si="2"/>
        <v>16.194145503489917</v>
      </c>
    </row>
    <row r="30" spans="1:7" x14ac:dyDescent="0.3">
      <c r="B30" s="35">
        <f t="shared" si="3"/>
        <v>7.5398441547285469</v>
      </c>
      <c r="C30" s="35">
        <f t="shared" si="1"/>
        <v>3.6473300683535843</v>
      </c>
      <c r="D30" s="5">
        <f t="shared" si="2"/>
        <v>16.194145503489917</v>
      </c>
    </row>
    <row r="31" spans="1:7" x14ac:dyDescent="0.3">
      <c r="B31" s="35">
        <f t="shared" si="3"/>
        <v>8.7964848471833044</v>
      </c>
      <c r="C31" s="35">
        <f t="shared" si="1"/>
        <v>3.6473300683535843</v>
      </c>
      <c r="D31" s="5">
        <f t="shared" si="2"/>
        <v>16.194145503489917</v>
      </c>
    </row>
    <row r="32" spans="1:7" x14ac:dyDescent="0.3">
      <c r="B32" s="35">
        <f t="shared" si="3"/>
        <v>10.053125539638062</v>
      </c>
      <c r="C32" s="35">
        <f t="shared" si="1"/>
        <v>3.6473300683535843</v>
      </c>
      <c r="D32" s="5">
        <f t="shared" si="2"/>
        <v>16.194145503489917</v>
      </c>
    </row>
    <row r="33" spans="2:4" x14ac:dyDescent="0.3">
      <c r="B33" s="35">
        <f t="shared" si="3"/>
        <v>11.309766232092819</v>
      </c>
      <c r="C33" s="35">
        <f t="shared" si="1"/>
        <v>3.6473300683535843</v>
      </c>
      <c r="D33" s="5">
        <f t="shared" si="2"/>
        <v>16.194145503489917</v>
      </c>
    </row>
    <row r="34" spans="2:4" x14ac:dyDescent="0.3">
      <c r="B34" s="35">
        <f t="shared" si="3"/>
        <v>12.566406924547577</v>
      </c>
      <c r="C34" s="35">
        <f t="shared" si="1"/>
        <v>3.6473300683535843</v>
      </c>
      <c r="D34" s="5">
        <f t="shared" si="2"/>
        <v>16.194145503489917</v>
      </c>
    </row>
    <row r="35" spans="2:4" x14ac:dyDescent="0.3">
      <c r="B35" s="35">
        <f t="shared" si="3"/>
        <v>13.823047617002334</v>
      </c>
      <c r="C35" s="35">
        <f t="shared" si="1"/>
        <v>3.6473300683535843</v>
      </c>
      <c r="D35" s="5">
        <f t="shared" si="2"/>
        <v>16.194145503489917</v>
      </c>
    </row>
    <row r="36" spans="2:4" x14ac:dyDescent="0.3">
      <c r="B36" s="35">
        <f t="shared" si="3"/>
        <v>15.079688309457092</v>
      </c>
      <c r="C36" s="35">
        <f t="shared" si="1"/>
        <v>3.6473300683535843</v>
      </c>
      <c r="D36" s="5">
        <f t="shared" si="2"/>
        <v>16.194145503489917</v>
      </c>
    </row>
    <row r="37" spans="2:4" x14ac:dyDescent="0.3">
      <c r="B37" s="35">
        <f t="shared" si="3"/>
        <v>16.336329001911849</v>
      </c>
      <c r="C37" s="35">
        <f t="shared" si="1"/>
        <v>3.6473300683535843</v>
      </c>
      <c r="D37" s="5">
        <f t="shared" si="2"/>
        <v>16.194145503489917</v>
      </c>
    </row>
    <row r="38" spans="2:4" x14ac:dyDescent="0.3">
      <c r="B38" s="35">
        <f t="shared" si="3"/>
        <v>17.592969694366609</v>
      </c>
      <c r="C38" s="35">
        <f t="shared" si="1"/>
        <v>3.6473300683535843</v>
      </c>
      <c r="D38" s="5">
        <f t="shared" si="2"/>
        <v>16.194145503489917</v>
      </c>
    </row>
    <row r="39" spans="2:4" x14ac:dyDescent="0.3">
      <c r="B39" s="35">
        <f t="shared" si="3"/>
        <v>18.849610386821368</v>
      </c>
      <c r="C39" s="35">
        <f t="shared" si="1"/>
        <v>3.6473300683535843</v>
      </c>
      <c r="D39" s="5">
        <f t="shared" si="2"/>
        <v>16.194145503489917</v>
      </c>
    </row>
    <row r="40" spans="2:4" x14ac:dyDescent="0.3">
      <c r="B40" s="35">
        <f t="shared" si="3"/>
        <v>20.106251079276127</v>
      </c>
      <c r="C40" s="35">
        <f t="shared" si="1"/>
        <v>3.6473300683535843</v>
      </c>
      <c r="D40" s="5">
        <f t="shared" si="2"/>
        <v>16.194145503489917</v>
      </c>
    </row>
    <row r="41" spans="2:4" x14ac:dyDescent="0.3">
      <c r="B41" s="35">
        <f t="shared" si="3"/>
        <v>21.362891771730887</v>
      </c>
      <c r="C41" s="35">
        <f t="shared" si="1"/>
        <v>3.6473300683535843</v>
      </c>
      <c r="D41" s="5">
        <f t="shared" si="2"/>
        <v>16.194145503489917</v>
      </c>
    </row>
    <row r="42" spans="2:4" x14ac:dyDescent="0.3">
      <c r="B42" s="35">
        <f t="shared" si="3"/>
        <v>22.619532464185646</v>
      </c>
      <c r="C42" s="35">
        <f t="shared" si="1"/>
        <v>3.6473300683535843</v>
      </c>
      <c r="D42" s="5">
        <f t="shared" si="2"/>
        <v>16.194145503489917</v>
      </c>
    </row>
    <row r="43" spans="2:4" x14ac:dyDescent="0.3">
      <c r="B43" s="35">
        <f t="shared" si="3"/>
        <v>23.876173156640405</v>
      </c>
      <c r="C43" s="35">
        <f t="shared" si="1"/>
        <v>3.6473300683535843</v>
      </c>
      <c r="D43" s="5">
        <f t="shared" si="2"/>
        <v>16.194145503489917</v>
      </c>
    </row>
    <row r="44" spans="2:4" x14ac:dyDescent="0.3">
      <c r="B44" s="35">
        <f>B43+($C$12/30)</f>
        <v>25.132813849095164</v>
      </c>
      <c r="C44" s="35">
        <f t="shared" si="1"/>
        <v>3.6473300683535843</v>
      </c>
      <c r="D44" s="5">
        <f t="shared" si="2"/>
        <v>16.194145503489917</v>
      </c>
    </row>
    <row r="45" spans="2:4" x14ac:dyDescent="0.3">
      <c r="B45" s="35">
        <f t="shared" si="3"/>
        <v>26.389454541549924</v>
      </c>
      <c r="C45" s="35">
        <f t="shared" si="1"/>
        <v>3.6473300683535843</v>
      </c>
      <c r="D45" s="5">
        <f t="shared" si="2"/>
        <v>16.194145503489917</v>
      </c>
    </row>
    <row r="46" spans="2:4" x14ac:dyDescent="0.3">
      <c r="B46" s="35">
        <f t="shared" si="3"/>
        <v>27.646095234004683</v>
      </c>
      <c r="C46" s="35">
        <f t="shared" si="1"/>
        <v>3.6473300683535843</v>
      </c>
      <c r="D46" s="5">
        <f t="shared" si="2"/>
        <v>16.194145503489917</v>
      </c>
    </row>
    <row r="47" spans="2:4" x14ac:dyDescent="0.3">
      <c r="B47" s="35">
        <f t="shared" si="3"/>
        <v>28.902735926459442</v>
      </c>
      <c r="C47" s="35">
        <f t="shared" si="1"/>
        <v>3.6473300683535843</v>
      </c>
      <c r="D47" s="5">
        <f t="shared" si="2"/>
        <v>16.194145503489917</v>
      </c>
    </row>
    <row r="48" spans="2:4" x14ac:dyDescent="0.3">
      <c r="B48" s="35">
        <f t="shared" si="3"/>
        <v>30.159376618914202</v>
      </c>
      <c r="C48" s="35">
        <f t="shared" si="1"/>
        <v>3.6473300683535843</v>
      </c>
      <c r="D48" s="5">
        <f t="shared" si="2"/>
        <v>16.194145503489917</v>
      </c>
    </row>
    <row r="49" spans="2:4" x14ac:dyDescent="0.3">
      <c r="B49" s="35">
        <f t="shared" si="3"/>
        <v>31.416017311368961</v>
      </c>
      <c r="C49" s="35">
        <f t="shared" si="1"/>
        <v>3.6473300683535843</v>
      </c>
      <c r="D49" s="5">
        <f t="shared" si="2"/>
        <v>16.194145503489917</v>
      </c>
    </row>
    <row r="50" spans="2:4" x14ac:dyDescent="0.3">
      <c r="B50" s="35">
        <f t="shared" si="3"/>
        <v>32.67265800382372</v>
      </c>
      <c r="C50" s="35">
        <f t="shared" si="1"/>
        <v>3.6473300683535843</v>
      </c>
      <c r="D50" s="5">
        <f t="shared" si="2"/>
        <v>16.194145503489917</v>
      </c>
    </row>
    <row r="51" spans="2:4" x14ac:dyDescent="0.3">
      <c r="B51" s="35">
        <f t="shared" si="3"/>
        <v>33.929298696278479</v>
      </c>
      <c r="C51" s="35">
        <f t="shared" si="1"/>
        <v>3.6473300683535843</v>
      </c>
      <c r="D51" s="5">
        <f t="shared" si="2"/>
        <v>16.194145503489917</v>
      </c>
    </row>
    <row r="52" spans="2:4" x14ac:dyDescent="0.3">
      <c r="B52" s="35">
        <f t="shared" si="3"/>
        <v>35.185939388733239</v>
      </c>
      <c r="C52" s="35">
        <f t="shared" si="1"/>
        <v>3.6473300683535843</v>
      </c>
      <c r="D52" s="5">
        <f t="shared" si="2"/>
        <v>16.194145503489917</v>
      </c>
    </row>
    <row r="53" spans="2:4" x14ac:dyDescent="0.3">
      <c r="B53" s="35">
        <f t="shared" si="3"/>
        <v>36.442580081187998</v>
      </c>
      <c r="C53" s="35">
        <f t="shared" si="1"/>
        <v>3.6473300683535843</v>
      </c>
      <c r="D53" s="5">
        <f t="shared" si="2"/>
        <v>16.194145503489917</v>
      </c>
    </row>
    <row r="54" spans="2:4" x14ac:dyDescent="0.3">
      <c r="B54" s="35">
        <f t="shared" si="3"/>
        <v>37.699220773642757</v>
      </c>
      <c r="C54" s="35">
        <f t="shared" si="1"/>
        <v>3.6473300683535843</v>
      </c>
      <c r="D54" s="5">
        <f t="shared" si="2"/>
        <v>16.194145503489917</v>
      </c>
    </row>
    <row r="55" spans="2:4" x14ac:dyDescent="0.3">
      <c r="B55" s="35">
        <f>B54</f>
        <v>37.699220773642757</v>
      </c>
      <c r="C55" s="2">
        <v>0</v>
      </c>
      <c r="D55" s="2">
        <v>0</v>
      </c>
    </row>
    <row r="72" spans="1:1" x14ac:dyDescent="0.3">
      <c r="A72" s="1"/>
    </row>
  </sheetData>
  <mergeCells count="3">
    <mergeCell ref="A2:D2"/>
    <mergeCell ref="E2:H2"/>
    <mergeCell ref="A9:D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DAE87-3167-497B-8862-EF7F91AD9E48}">
  <dimension ref="A2:N76"/>
  <sheetViews>
    <sheetView showGridLines="0" zoomScaleNormal="100" workbookViewId="0">
      <selection activeCell="C15" sqref="C15"/>
    </sheetView>
  </sheetViews>
  <sheetFormatPr defaultRowHeight="14.4" x14ac:dyDescent="0.3"/>
  <cols>
    <col min="1" max="1" width="14.5546875" customWidth="1"/>
    <col min="2" max="2" width="9.21875" customWidth="1"/>
    <col min="3" max="3" width="9.33203125" customWidth="1"/>
    <col min="4" max="4" width="12.44140625" customWidth="1"/>
    <col min="5" max="5" width="12.5546875" customWidth="1"/>
    <col min="6" max="6" width="10.88671875" customWidth="1"/>
    <col min="7" max="7" width="11.6640625" customWidth="1"/>
    <col min="8" max="8" width="10.5546875" customWidth="1"/>
    <col min="9" max="9" width="8.44140625" customWidth="1"/>
    <col min="10" max="10" width="10.21875" customWidth="1"/>
    <col min="11" max="11" width="9.88671875" customWidth="1"/>
    <col min="14" max="14" width="7" customWidth="1"/>
    <col min="15" max="15" width="7.88671875" customWidth="1"/>
    <col min="18" max="18" width="7.5546875" customWidth="1"/>
  </cols>
  <sheetData>
    <row r="2" spans="1:14" ht="21" x14ac:dyDescent="0.4">
      <c r="A2" s="40" t="s">
        <v>0</v>
      </c>
      <c r="B2" s="40"/>
      <c r="C2" s="40"/>
      <c r="D2" s="40"/>
      <c r="E2" s="40" t="s">
        <v>1</v>
      </c>
      <c r="F2" s="40"/>
      <c r="G2" s="40"/>
      <c r="H2" s="40"/>
      <c r="I2" s="40" t="s">
        <v>18</v>
      </c>
      <c r="J2" s="40"/>
      <c r="K2" s="40"/>
      <c r="L2" s="40"/>
      <c r="M2" s="40"/>
      <c r="N2" s="7"/>
    </row>
    <row r="3" spans="1:14" x14ac:dyDescent="0.3">
      <c r="B3" s="1" t="s">
        <v>6</v>
      </c>
      <c r="C3" s="18">
        <v>1.7549999999999999</v>
      </c>
      <c r="D3" s="3" t="s">
        <v>9</v>
      </c>
      <c r="F3" s="1" t="s">
        <v>2</v>
      </c>
      <c r="G3" s="18">
        <v>6.2E-2</v>
      </c>
      <c r="H3" t="s">
        <v>3</v>
      </c>
      <c r="K3" s="1" t="s">
        <v>84</v>
      </c>
      <c r="L3" s="8">
        <f>(C3-C4)/50</f>
        <v>2.76E-2</v>
      </c>
      <c r="M3" t="s">
        <v>9</v>
      </c>
    </row>
    <row r="4" spans="1:14" x14ac:dyDescent="0.3">
      <c r="B4" s="1" t="s">
        <v>7</v>
      </c>
      <c r="C4" s="18">
        <v>0.375</v>
      </c>
      <c r="D4" s="3" t="s">
        <v>9</v>
      </c>
      <c r="F4" s="1" t="s">
        <v>4</v>
      </c>
      <c r="G4" s="18">
        <v>6.7599999999999993E-2</v>
      </c>
      <c r="H4" t="s">
        <v>35</v>
      </c>
    </row>
    <row r="5" spans="1:14" x14ac:dyDescent="0.3">
      <c r="B5" s="1" t="s">
        <v>15</v>
      </c>
      <c r="C5" s="18">
        <v>4</v>
      </c>
      <c r="D5" s="3" t="s">
        <v>9</v>
      </c>
      <c r="F5" s="1" t="s">
        <v>5</v>
      </c>
      <c r="G5" s="18">
        <v>0.22</v>
      </c>
    </row>
    <row r="6" spans="1:14" x14ac:dyDescent="0.3">
      <c r="B6" s="1" t="s">
        <v>65</v>
      </c>
      <c r="C6" s="18">
        <v>0.25</v>
      </c>
      <c r="D6" s="3" t="s">
        <v>9</v>
      </c>
      <c r="F6" s="1" t="s">
        <v>10</v>
      </c>
      <c r="G6" s="18">
        <v>885</v>
      </c>
      <c r="H6" t="s">
        <v>12</v>
      </c>
    </row>
    <row r="7" spans="1:14" x14ac:dyDescent="0.3">
      <c r="B7" s="1" t="s">
        <v>68</v>
      </c>
      <c r="C7" s="18">
        <v>14.7</v>
      </c>
      <c r="D7" s="3" t="s">
        <v>69</v>
      </c>
      <c r="F7" s="1" t="s">
        <v>67</v>
      </c>
      <c r="G7" s="18">
        <v>1.137</v>
      </c>
    </row>
    <row r="8" spans="1:14" x14ac:dyDescent="0.3">
      <c r="B8" s="1" t="s">
        <v>83</v>
      </c>
      <c r="C8" s="18">
        <v>2</v>
      </c>
      <c r="D8" s="3"/>
    </row>
    <row r="9" spans="1:14" x14ac:dyDescent="0.3">
      <c r="B9" s="1" t="s">
        <v>13</v>
      </c>
      <c r="C9" s="4">
        <f>((((3.14*(C3/2)^2)*C5)-((3.14*(C4/2)^2)*C5))*G3)*C8</f>
        <v>1.1444847839999999</v>
      </c>
      <c r="D9" s="3" t="s">
        <v>14</v>
      </c>
    </row>
    <row r="10" spans="1:14" x14ac:dyDescent="0.3">
      <c r="B10" s="1"/>
      <c r="C10" s="6"/>
      <c r="D10" s="3"/>
    </row>
    <row r="11" spans="1:14" ht="20.399999999999999" x14ac:dyDescent="0.35">
      <c r="A11" s="40" t="s">
        <v>22</v>
      </c>
      <c r="B11" s="40"/>
      <c r="C11" s="40"/>
      <c r="D11" s="40"/>
    </row>
    <row r="12" spans="1:14" x14ac:dyDescent="0.3">
      <c r="B12" s="1" t="s">
        <v>23</v>
      </c>
      <c r="C12" s="5">
        <f>SUM(M25:M76)</f>
        <v>146.09905398937534</v>
      </c>
      <c r="D12" s="3" t="s">
        <v>24</v>
      </c>
    </row>
    <row r="13" spans="1:14" x14ac:dyDescent="0.3">
      <c r="B13" s="1" t="s">
        <v>23</v>
      </c>
      <c r="C13" s="5">
        <f>C12*4.44</f>
        <v>648.67979971282659</v>
      </c>
      <c r="D13" s="3" t="s">
        <v>25</v>
      </c>
      <c r="E13" s="3"/>
      <c r="F13" s="3"/>
      <c r="G13" s="3"/>
    </row>
    <row r="14" spans="1:14" x14ac:dyDescent="0.3">
      <c r="B14" s="1" t="s">
        <v>27</v>
      </c>
      <c r="C14" s="35">
        <f>J76</f>
        <v>2.3412296322146537</v>
      </c>
      <c r="D14" s="3" t="s">
        <v>28</v>
      </c>
      <c r="E14" s="3"/>
      <c r="F14" s="3"/>
      <c r="G14" s="3"/>
    </row>
    <row r="15" spans="1:14" x14ac:dyDescent="0.3">
      <c r="B15" s="1" t="s">
        <v>26</v>
      </c>
      <c r="C15" s="5">
        <f>C12/C14</f>
        <v>62.402701545843222</v>
      </c>
      <c r="D15" s="3" t="s">
        <v>29</v>
      </c>
      <c r="E15" s="3"/>
      <c r="F15" s="3"/>
      <c r="G15" s="3"/>
    </row>
    <row r="16" spans="1:14" x14ac:dyDescent="0.3">
      <c r="B16" s="1" t="s">
        <v>26</v>
      </c>
      <c r="C16" s="5">
        <f>C15*4.44</f>
        <v>277.0679948635439</v>
      </c>
      <c r="D16" s="3" t="s">
        <v>30</v>
      </c>
      <c r="E16" s="3"/>
      <c r="F16" s="3"/>
      <c r="G16" s="3"/>
    </row>
    <row r="17" spans="1:13" x14ac:dyDescent="0.3">
      <c r="B17" s="1" t="s">
        <v>52</v>
      </c>
      <c r="C17" s="5">
        <f>C12/C9</f>
        <v>127.65486796491595</v>
      </c>
      <c r="D17" s="3" t="s">
        <v>28</v>
      </c>
      <c r="E17" s="3"/>
      <c r="F17" s="3"/>
      <c r="G17" s="3"/>
    </row>
    <row r="18" spans="1:13" x14ac:dyDescent="0.3">
      <c r="B18" s="1" t="s">
        <v>70</v>
      </c>
      <c r="C18" s="5">
        <f>MAX(F25:F76)</f>
        <v>1017.2382725040376</v>
      </c>
      <c r="D18" s="3" t="s">
        <v>69</v>
      </c>
      <c r="E18" s="3"/>
      <c r="F18" s="3"/>
      <c r="G18" s="3"/>
    </row>
    <row r="19" spans="1:13" x14ac:dyDescent="0.3">
      <c r="B19" s="1" t="s">
        <v>71</v>
      </c>
      <c r="C19" s="5">
        <f>MAX(K25:K76)</f>
        <v>73.593990472988423</v>
      </c>
      <c r="D19" s="3" t="s">
        <v>29</v>
      </c>
      <c r="E19" s="3"/>
      <c r="F19" s="3"/>
      <c r="G19" s="3"/>
    </row>
    <row r="20" spans="1:13" x14ac:dyDescent="0.3">
      <c r="B20" s="1" t="s">
        <v>71</v>
      </c>
      <c r="C20" s="5">
        <f>C19*4.44</f>
        <v>326.75731770006865</v>
      </c>
      <c r="D20" s="3" t="s">
        <v>30</v>
      </c>
      <c r="E20" s="3"/>
      <c r="F20" s="3"/>
      <c r="G20" s="3"/>
    </row>
    <row r="21" spans="1:13" x14ac:dyDescent="0.3">
      <c r="B21" s="1" t="s">
        <v>108</v>
      </c>
      <c r="C21" s="4" t="str">
        <f>VLOOKUP(C13,'Motor Classification'!B2:C20,2,TRUE)</f>
        <v>J</v>
      </c>
      <c r="D21" s="3"/>
      <c r="E21" s="3"/>
      <c r="F21" s="3"/>
      <c r="G21" s="3"/>
    </row>
    <row r="22" spans="1:13" x14ac:dyDescent="0.3">
      <c r="B22" s="1"/>
      <c r="C22" s="6"/>
      <c r="D22" s="3"/>
      <c r="E22" s="3"/>
      <c r="F22" s="3"/>
      <c r="G22" s="3"/>
    </row>
    <row r="24" spans="1:13" ht="47.4" customHeight="1" x14ac:dyDescent="0.3">
      <c r="B24" s="9" t="s">
        <v>62</v>
      </c>
      <c r="C24" s="9" t="s">
        <v>55</v>
      </c>
      <c r="D24" s="9" t="s">
        <v>56</v>
      </c>
      <c r="E24" s="9" t="s">
        <v>11</v>
      </c>
      <c r="F24" s="9" t="s">
        <v>57</v>
      </c>
      <c r="G24" s="9" t="s">
        <v>66</v>
      </c>
      <c r="H24" s="9" t="s">
        <v>58</v>
      </c>
      <c r="I24" s="9" t="s">
        <v>59</v>
      </c>
      <c r="J24" s="9" t="s">
        <v>60</v>
      </c>
      <c r="K24" s="9" t="s">
        <v>16</v>
      </c>
      <c r="L24" s="9" t="s">
        <v>31</v>
      </c>
      <c r="M24" s="9" t="s">
        <v>61</v>
      </c>
    </row>
    <row r="25" spans="1:13" x14ac:dyDescent="0.3">
      <c r="B25" s="2">
        <v>0</v>
      </c>
      <c r="C25" s="2">
        <f>C4</f>
        <v>0.375</v>
      </c>
      <c r="D25" s="2">
        <f>C5</f>
        <v>4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</row>
    <row r="26" spans="1:13" x14ac:dyDescent="0.3">
      <c r="A26" s="1" t="s">
        <v>17</v>
      </c>
      <c r="B26" s="2">
        <v>1</v>
      </c>
      <c r="C26" s="2">
        <f t="shared" ref="C26:C57" si="0">C25+$L$3</f>
        <v>0.40260000000000001</v>
      </c>
      <c r="D26" s="2">
        <f>D25</f>
        <v>4</v>
      </c>
      <c r="E26" s="5">
        <f>((((((3.14*($C$3/2)^2)-(3.14*(C26/2)^2))*2)+((6.28*(C26/2))*D26))*$C$8)/(3.14*($C$6/2)^2))</f>
        <v>392.87924735999997</v>
      </c>
      <c r="F26" s="5">
        <f t="shared" ref="F26:F57" si="1">(((E26*$G$3*$G$4*($G$6*39.37))/(386.4))^(1/(1-$G$5)))*0.95</f>
        <v>577.98249471840893</v>
      </c>
      <c r="G26" s="35">
        <f t="shared" ref="G26:G57" si="2">(SQRT((2*($G$7^2)/($G$7-1))*((2/($G$7+1))^(($G$7+1)/($G$7-1)))*((1-($C$7/F26)^(($G$7-1)/$G$7)))))*0.9</f>
        <v>1.3943909844235598</v>
      </c>
      <c r="H26" s="4">
        <f t="shared" ref="H26:H57" si="3">$G$4*F26^$G$5</f>
        <v>0.27388479756871037</v>
      </c>
      <c r="I26" s="4">
        <f>($L$3/2)/H26</f>
        <v>5.0386148199912224E-2</v>
      </c>
      <c r="J26" s="4">
        <f t="shared" ref="J26:J57" si="4">J25+I26</f>
        <v>5.0386148199912224E-2</v>
      </c>
      <c r="K26" s="4">
        <f t="shared" ref="K26:K57" si="5">(3.14*($C$6/2)^2)*F26*G26</f>
        <v>39.541116258446252</v>
      </c>
      <c r="L26" s="4">
        <f t="shared" ref="L26:L57" si="6">K26*4.44</f>
        <v>175.56255618750137</v>
      </c>
      <c r="M26" s="4">
        <f t="shared" ref="M26:M57" si="7">K26*I26</f>
        <v>1.9923245437880317</v>
      </c>
    </row>
    <row r="27" spans="1:13" x14ac:dyDescent="0.3">
      <c r="B27" s="2">
        <v>2</v>
      </c>
      <c r="C27" s="2">
        <f t="shared" si="0"/>
        <v>0.43020000000000003</v>
      </c>
      <c r="D27" s="4">
        <f>D26-$L$3</f>
        <v>3.9723999999999999</v>
      </c>
      <c r="E27" s="5">
        <f t="shared" ref="E27:E75" si="8">((((((3.14*($C$3/2)^2)-(3.14*(C27/2)^2))*2)+((6.28*(C27/2))*D27))*$C$8)/(3.14*($C$6/2)^2))</f>
        <v>404.01957887999998</v>
      </c>
      <c r="F27" s="5">
        <f t="shared" si="1"/>
        <v>599.07755322166349</v>
      </c>
      <c r="G27" s="35">
        <f t="shared" si="2"/>
        <v>1.3997806986923629</v>
      </c>
      <c r="H27" s="4">
        <f t="shared" si="3"/>
        <v>0.27605331474950284</v>
      </c>
      <c r="I27" s="4">
        <f t="shared" ref="I27:I75" si="9">($L$3/2)/H27</f>
        <v>4.9990343396247347E-2</v>
      </c>
      <c r="J27" s="4">
        <f t="shared" si="4"/>
        <v>0.10037649159615958</v>
      </c>
      <c r="K27" s="4">
        <f t="shared" si="5"/>
        <v>41.142693679708252</v>
      </c>
      <c r="L27" s="4">
        <f t="shared" si="6"/>
        <v>182.67355993790466</v>
      </c>
      <c r="M27" s="4">
        <f t="shared" si="7"/>
        <v>2.0567373852952309</v>
      </c>
    </row>
    <row r="28" spans="1:13" x14ac:dyDescent="0.3">
      <c r="B28" s="2">
        <v>3</v>
      </c>
      <c r="C28" s="2">
        <f t="shared" si="0"/>
        <v>0.45780000000000004</v>
      </c>
      <c r="D28" s="4">
        <f t="shared" ref="D28:D75" si="10">D27-$L$3</f>
        <v>3.9447999999999999</v>
      </c>
      <c r="E28" s="5">
        <f t="shared" si="8"/>
        <v>414.86739455999998</v>
      </c>
      <c r="F28" s="5">
        <f t="shared" si="1"/>
        <v>619.77702550922709</v>
      </c>
      <c r="G28" s="35">
        <f t="shared" si="2"/>
        <v>1.4048475399362854</v>
      </c>
      <c r="H28" s="4">
        <f t="shared" si="3"/>
        <v>0.27812402130371211</v>
      </c>
      <c r="I28" s="4">
        <f t="shared" si="9"/>
        <v>4.9618152129802431E-2</v>
      </c>
      <c r="J28" s="4">
        <f t="shared" si="4"/>
        <v>0.149994643725962</v>
      </c>
      <c r="K28" s="4">
        <f t="shared" si="5"/>
        <v>42.718337514537367</v>
      </c>
      <c r="L28" s="4">
        <f t="shared" si="6"/>
        <v>189.66941856454594</v>
      </c>
      <c r="M28" s="4">
        <f t="shared" si="7"/>
        <v>2.1196049695285613</v>
      </c>
    </row>
    <row r="29" spans="1:13" x14ac:dyDescent="0.3">
      <c r="B29" s="2">
        <v>4</v>
      </c>
      <c r="C29" s="2">
        <f t="shared" si="0"/>
        <v>0.48540000000000005</v>
      </c>
      <c r="D29" s="4">
        <f t="shared" si="10"/>
        <v>3.9171999999999998</v>
      </c>
      <c r="E29" s="5">
        <f t="shared" si="8"/>
        <v>425.42269440000001</v>
      </c>
      <c r="F29" s="5">
        <f t="shared" si="1"/>
        <v>640.0654476931885</v>
      </c>
      <c r="G29" s="35">
        <f t="shared" si="2"/>
        <v>1.4096163033205762</v>
      </c>
      <c r="H29" s="4">
        <f t="shared" si="3"/>
        <v>0.28010190358706427</v>
      </c>
      <c r="I29" s="4">
        <f t="shared" si="9"/>
        <v>4.9267783700407936E-2</v>
      </c>
      <c r="J29" s="4">
        <f t="shared" si="4"/>
        <v>0.19926242742636993</v>
      </c>
      <c r="K29" s="4">
        <f t="shared" si="5"/>
        <v>44.266478240905883</v>
      </c>
      <c r="L29" s="4">
        <f t="shared" si="6"/>
        <v>196.54316338962215</v>
      </c>
      <c r="M29" s="4">
        <f t="shared" si="7"/>
        <v>2.1809112751517654</v>
      </c>
    </row>
    <row r="30" spans="1:13" x14ac:dyDescent="0.3">
      <c r="B30" s="2">
        <v>5</v>
      </c>
      <c r="C30" s="2">
        <f t="shared" si="0"/>
        <v>0.51300000000000001</v>
      </c>
      <c r="D30" s="4">
        <f t="shared" si="10"/>
        <v>3.8895999999999997</v>
      </c>
      <c r="E30" s="5">
        <f t="shared" si="8"/>
        <v>435.68547839999997</v>
      </c>
      <c r="F30" s="5">
        <f t="shared" si="1"/>
        <v>659.92826700044361</v>
      </c>
      <c r="G30" s="35">
        <f t="shared" si="2"/>
        <v>1.4141089313299822</v>
      </c>
      <c r="H30" s="4">
        <f t="shared" si="3"/>
        <v>0.28199147344040859</v>
      </c>
      <c r="I30" s="4">
        <f t="shared" si="9"/>
        <v>4.893764989286551E-2</v>
      </c>
      <c r="J30" s="4">
        <f t="shared" si="4"/>
        <v>0.24820007731923543</v>
      </c>
      <c r="K30" s="4">
        <f t="shared" si="5"/>
        <v>45.785638017244935</v>
      </c>
      <c r="L30" s="4">
        <f t="shared" si="6"/>
        <v>203.28823279656754</v>
      </c>
      <c r="M30" s="4">
        <f t="shared" si="7"/>
        <v>2.2406415234094057</v>
      </c>
    </row>
    <row r="31" spans="1:13" x14ac:dyDescent="0.3">
      <c r="B31" s="2">
        <v>6</v>
      </c>
      <c r="C31" s="2">
        <f t="shared" si="0"/>
        <v>0.54059999999999997</v>
      </c>
      <c r="D31" s="4">
        <f t="shared" si="10"/>
        <v>3.8619999999999997</v>
      </c>
      <c r="E31" s="5">
        <f t="shared" si="8"/>
        <v>445.65574655999995</v>
      </c>
      <c r="F31" s="5">
        <f t="shared" si="1"/>
        <v>679.35177297193786</v>
      </c>
      <c r="G31" s="35">
        <f t="shared" si="2"/>
        <v>1.4183449189137196</v>
      </c>
      <c r="H31" s="4">
        <f t="shared" si="3"/>
        <v>0.28379682525701483</v>
      </c>
      <c r="I31" s="4">
        <f t="shared" si="9"/>
        <v>4.8626336772803258E-2</v>
      </c>
      <c r="J31" s="4">
        <f t="shared" si="4"/>
        <v>0.29682641409203869</v>
      </c>
      <c r="K31" s="4">
        <f t="shared" si="5"/>
        <v>47.274423828098335</v>
      </c>
      <c r="L31" s="4">
        <f t="shared" si="6"/>
        <v>209.89844179675663</v>
      </c>
      <c r="M31" s="4">
        <f t="shared" si="7"/>
        <v>2.2987820538053447</v>
      </c>
    </row>
    <row r="32" spans="1:13" x14ac:dyDescent="0.3">
      <c r="B32" s="2">
        <v>7</v>
      </c>
      <c r="C32" s="2">
        <f t="shared" si="0"/>
        <v>0.56819999999999993</v>
      </c>
      <c r="D32" s="4">
        <f t="shared" si="10"/>
        <v>3.8343999999999996</v>
      </c>
      <c r="E32" s="5">
        <f t="shared" si="8"/>
        <v>455.33349887999992</v>
      </c>
      <c r="F32" s="5">
        <f t="shared" si="1"/>
        <v>698.32303665520396</v>
      </c>
      <c r="G32" s="35">
        <f t="shared" si="2"/>
        <v>1.4223416494840155</v>
      </c>
      <c r="H32" s="4">
        <f t="shared" si="3"/>
        <v>0.28552168446797171</v>
      </c>
      <c r="I32" s="4">
        <f t="shared" si="9"/>
        <v>4.8332581203821001E-2</v>
      </c>
      <c r="J32" s="4">
        <f t="shared" si="4"/>
        <v>0.34515899529585969</v>
      </c>
      <c r="K32" s="4">
        <f t="shared" si="5"/>
        <v>48.731521422852929</v>
      </c>
      <c r="L32" s="4">
        <f t="shared" si="6"/>
        <v>216.36795511746703</v>
      </c>
      <c r="M32" s="4">
        <f t="shared" si="7"/>
        <v>2.355320216355782</v>
      </c>
    </row>
    <row r="33" spans="2:13" x14ac:dyDescent="0.3">
      <c r="B33" s="2">
        <v>8</v>
      </c>
      <c r="C33" s="2">
        <f t="shared" si="0"/>
        <v>0.59579999999999989</v>
      </c>
      <c r="D33" s="4">
        <f t="shared" si="10"/>
        <v>3.8067999999999995</v>
      </c>
      <c r="E33" s="5">
        <f t="shared" si="8"/>
        <v>464.71873535999993</v>
      </c>
      <c r="F33" s="5">
        <f t="shared" si="1"/>
        <v>716.82985664978924</v>
      </c>
      <c r="G33" s="35">
        <f t="shared" si="2"/>
        <v>1.4261146753385161</v>
      </c>
      <c r="H33" s="4">
        <f t="shared" si="3"/>
        <v>0.28716944895638102</v>
      </c>
      <c r="I33" s="4">
        <f t="shared" si="9"/>
        <v>4.8055251177140788E-2</v>
      </c>
      <c r="J33" s="4">
        <f t="shared" si="4"/>
        <v>0.39321424647300046</v>
      </c>
      <c r="K33" s="4">
        <f t="shared" si="5"/>
        <v>50.155689934807455</v>
      </c>
      <c r="L33" s="4">
        <f t="shared" si="6"/>
        <v>222.69126331054511</v>
      </c>
      <c r="M33" s="4">
        <f t="shared" si="7"/>
        <v>2.4102442777799644</v>
      </c>
    </row>
    <row r="34" spans="2:13" x14ac:dyDescent="0.3">
      <c r="B34" s="2">
        <v>9</v>
      </c>
      <c r="C34" s="2">
        <f t="shared" si="0"/>
        <v>0.62339999999999984</v>
      </c>
      <c r="D34" s="4">
        <f t="shared" si="10"/>
        <v>3.7791999999999994</v>
      </c>
      <c r="E34" s="5">
        <f t="shared" si="8"/>
        <v>473.81145599999985</v>
      </c>
      <c r="F34" s="5">
        <f t="shared" si="1"/>
        <v>734.86071105985275</v>
      </c>
      <c r="G34" s="35">
        <f t="shared" si="2"/>
        <v>1.4296779530811623</v>
      </c>
      <c r="H34" s="4">
        <f t="shared" si="3"/>
        <v>0.28874322460725504</v>
      </c>
      <c r="I34" s="4">
        <f t="shared" si="9"/>
        <v>4.7793329241822342E-2</v>
      </c>
      <c r="J34" s="4">
        <f t="shared" si="4"/>
        <v>0.4410075757148228</v>
      </c>
      <c r="K34" s="4">
        <f t="shared" si="5"/>
        <v>51.545757087027312</v>
      </c>
      <c r="L34" s="4">
        <f t="shared" si="6"/>
        <v>228.86316146640129</v>
      </c>
      <c r="M34" s="4">
        <f t="shared" si="7"/>
        <v>2.4635433394792936</v>
      </c>
    </row>
    <row r="35" spans="2:13" x14ac:dyDescent="0.3">
      <c r="B35" s="2">
        <v>10</v>
      </c>
      <c r="C35" s="2">
        <f t="shared" si="0"/>
        <v>0.6509999999999998</v>
      </c>
      <c r="D35" s="4">
        <f t="shared" si="10"/>
        <v>3.7515999999999994</v>
      </c>
      <c r="E35" s="5">
        <f t="shared" si="8"/>
        <v>482.61166079999987</v>
      </c>
      <c r="F35" s="5">
        <f t="shared" si="1"/>
        <v>752.40471456483988</v>
      </c>
      <c r="G35" s="35">
        <f t="shared" si="2"/>
        <v>1.4330440423502611</v>
      </c>
      <c r="H35" s="4">
        <f t="shared" si="3"/>
        <v>0.29024585596438074</v>
      </c>
      <c r="I35" s="4">
        <f t="shared" si="9"/>
        <v>4.7545898473374065E-2</v>
      </c>
      <c r="J35" s="4">
        <f t="shared" si="4"/>
        <v>0.48855347418819683</v>
      </c>
      <c r="K35" s="4">
        <f t="shared" si="5"/>
        <v>52.900614906878943</v>
      </c>
      <c r="L35" s="4">
        <f t="shared" si="6"/>
        <v>234.87873018654253</v>
      </c>
      <c r="M35" s="4">
        <f t="shared" si="7"/>
        <v>2.515207265541525</v>
      </c>
    </row>
    <row r="36" spans="2:13" x14ac:dyDescent="0.3">
      <c r="B36" s="2">
        <v>11</v>
      </c>
      <c r="C36" s="2">
        <f t="shared" si="0"/>
        <v>0.67859999999999976</v>
      </c>
      <c r="D36" s="4">
        <f t="shared" si="10"/>
        <v>3.7239999999999993</v>
      </c>
      <c r="E36" s="5">
        <f t="shared" si="8"/>
        <v>491.11934975999986</v>
      </c>
      <c r="F36" s="5">
        <f t="shared" si="1"/>
        <v>769.45157994605336</v>
      </c>
      <c r="G36" s="35">
        <f t="shared" si="2"/>
        <v>1.4362242744328861</v>
      </c>
      <c r="H36" s="4">
        <f t="shared" si="3"/>
        <v>0.2916799527811238</v>
      </c>
      <c r="I36" s="4">
        <f t="shared" si="9"/>
        <v>4.7312130533549213E-2</v>
      </c>
      <c r="J36" s="4">
        <f t="shared" si="4"/>
        <v>0.53586560472174605</v>
      </c>
      <c r="K36" s="4">
        <f t="shared" si="5"/>
        <v>54.219215883663615</v>
      </c>
      <c r="L36" s="4">
        <f t="shared" si="6"/>
        <v>240.73331852346647</v>
      </c>
      <c r="M36" s="4">
        <f t="shared" si="7"/>
        <v>2.5652266193145778</v>
      </c>
    </row>
    <row r="37" spans="2:13" x14ac:dyDescent="0.3">
      <c r="B37" s="2">
        <v>12</v>
      </c>
      <c r="C37" s="2">
        <f t="shared" si="0"/>
        <v>0.70619999999999972</v>
      </c>
      <c r="D37" s="4">
        <f t="shared" si="10"/>
        <v>3.6963999999999992</v>
      </c>
      <c r="E37" s="5">
        <f t="shared" si="8"/>
        <v>499.33452287999989</v>
      </c>
      <c r="F37" s="5">
        <f t="shared" si="1"/>
        <v>785.99158351049425</v>
      </c>
      <c r="G37" s="35">
        <f t="shared" si="2"/>
        <v>1.4392288960130775</v>
      </c>
      <c r="H37" s="4">
        <f t="shared" si="3"/>
        <v>0.29304791310691142</v>
      </c>
      <c r="I37" s="4">
        <f t="shared" si="9"/>
        <v>4.7091275463085808E-2</v>
      </c>
      <c r="J37" s="4">
        <f t="shared" si="4"/>
        <v>0.58295688018483183</v>
      </c>
      <c r="K37" s="4">
        <f t="shared" si="5"/>
        <v>55.500569513995792</v>
      </c>
      <c r="L37" s="4">
        <f t="shared" si="6"/>
        <v>246.42252864214134</v>
      </c>
      <c r="M37" s="4">
        <f t="shared" si="7"/>
        <v>2.6135926073417184</v>
      </c>
    </row>
    <row r="38" spans="2:13" x14ac:dyDescent="0.3">
      <c r="B38" s="2">
        <v>13</v>
      </c>
      <c r="C38" s="2">
        <f t="shared" si="0"/>
        <v>0.73379999999999967</v>
      </c>
      <c r="D38" s="4">
        <f t="shared" si="10"/>
        <v>3.6687999999999992</v>
      </c>
      <c r="E38" s="5">
        <f t="shared" si="8"/>
        <v>507.25718015999973</v>
      </c>
      <c r="F38" s="5">
        <f t="shared" si="1"/>
        <v>802.01553393830102</v>
      </c>
      <c r="G38" s="35">
        <f t="shared" si="2"/>
        <v>1.4420671922677293</v>
      </c>
      <c r="H38" s="4">
        <f t="shared" si="3"/>
        <v>0.29435194343583559</v>
      </c>
      <c r="I38" s="4">
        <f t="shared" si="9"/>
        <v>4.6882652918540005E-2</v>
      </c>
      <c r="J38" s="4">
        <f t="shared" si="4"/>
        <v>0.62983953310337182</v>
      </c>
      <c r="K38" s="4">
        <f t="shared" si="5"/>
        <v>56.743739187967812</v>
      </c>
      <c r="L38" s="4">
        <f t="shared" si="6"/>
        <v>251.94220199457712</v>
      </c>
      <c r="M38" s="4">
        <f t="shared" si="7"/>
        <v>2.660297029649652</v>
      </c>
    </row>
    <row r="39" spans="2:13" x14ac:dyDescent="0.3">
      <c r="B39" s="2">
        <v>14</v>
      </c>
      <c r="C39" s="2">
        <f t="shared" si="0"/>
        <v>0.76139999999999963</v>
      </c>
      <c r="D39" s="4">
        <f t="shared" si="10"/>
        <v>3.6411999999999991</v>
      </c>
      <c r="E39" s="5">
        <f t="shared" si="8"/>
        <v>514.88732159999984</v>
      </c>
      <c r="F39" s="5">
        <f t="shared" si="1"/>
        <v>817.51474415033556</v>
      </c>
      <c r="G39" s="35">
        <f t="shared" si="2"/>
        <v>1.4447475927157492</v>
      </c>
      <c r="H39" s="4">
        <f t="shared" si="3"/>
        <v>0.29559407635168422</v>
      </c>
      <c r="I39" s="4">
        <f t="shared" si="9"/>
        <v>4.668564461887726E-2</v>
      </c>
      <c r="J39" s="4">
        <f t="shared" si="4"/>
        <v>0.67652517772224907</v>
      </c>
      <c r="K39" s="4">
        <f t="shared" si="5"/>
        <v>57.947839376084417</v>
      </c>
      <c r="L39" s="4">
        <f t="shared" si="6"/>
        <v>257.28840682981485</v>
      </c>
      <c r="M39" s="4">
        <f t="shared" si="7"/>
        <v>2.7053322355436591</v>
      </c>
    </row>
    <row r="40" spans="2:13" x14ac:dyDescent="0.3">
      <c r="B40" s="2">
        <v>15</v>
      </c>
      <c r="C40" s="2">
        <f t="shared" si="0"/>
        <v>0.78899999999999959</v>
      </c>
      <c r="D40" s="4">
        <f t="shared" si="10"/>
        <v>3.613599999999999</v>
      </c>
      <c r="E40" s="5">
        <f t="shared" si="8"/>
        <v>522.22494719999963</v>
      </c>
      <c r="F40" s="5">
        <f t="shared" si="1"/>
        <v>832.48100585072882</v>
      </c>
      <c r="G40" s="35">
        <f t="shared" si="2"/>
        <v>1.4472777625893629</v>
      </c>
      <c r="H40" s="4">
        <f t="shared" si="3"/>
        <v>0.29677618602958394</v>
      </c>
      <c r="I40" s="4">
        <f t="shared" si="9"/>
        <v>4.6499687810612797E-2</v>
      </c>
      <c r="J40" s="4">
        <f t="shared" si="4"/>
        <v>0.72302486553286183</v>
      </c>
      <c r="K40" s="4">
        <f t="shared" si="5"/>
        <v>59.112033082715087</v>
      </c>
      <c r="L40" s="4">
        <f t="shared" si="6"/>
        <v>262.457426887255</v>
      </c>
      <c r="M40" s="4">
        <f t="shared" si="7"/>
        <v>2.7486910841968673</v>
      </c>
    </row>
    <row r="41" spans="2:13" x14ac:dyDescent="0.3">
      <c r="B41" s="2">
        <v>16</v>
      </c>
      <c r="C41" s="2">
        <f t="shared" si="0"/>
        <v>0.81659999999999955</v>
      </c>
      <c r="D41" s="4">
        <f t="shared" si="10"/>
        <v>3.585999999999999</v>
      </c>
      <c r="E41" s="5">
        <f t="shared" si="8"/>
        <v>529.27005695999981</v>
      </c>
      <c r="F41" s="5">
        <f t="shared" si="1"/>
        <v>846.90656644786611</v>
      </c>
      <c r="G41" s="35">
        <f t="shared" si="2"/>
        <v>1.4496646819915426</v>
      </c>
      <c r="H41" s="4">
        <f t="shared" si="3"/>
        <v>0.29790000189446375</v>
      </c>
      <c r="I41" s="4">
        <f t="shared" si="9"/>
        <v>4.6324269594630249E-2</v>
      </c>
      <c r="J41" s="4">
        <f t="shared" si="4"/>
        <v>0.76934913512749203</v>
      </c>
      <c r="K41" s="4">
        <f t="shared" si="5"/>
        <v>60.235529536628952</v>
      </c>
      <c r="L41" s="4">
        <f t="shared" si="6"/>
        <v>267.44575114263256</v>
      </c>
      <c r="M41" s="4">
        <f t="shared" si="7"/>
        <v>2.7903669094301127</v>
      </c>
    </row>
    <row r="42" spans="2:13" x14ac:dyDescent="0.3">
      <c r="B42" s="2">
        <v>17</v>
      </c>
      <c r="C42" s="2">
        <f t="shared" si="0"/>
        <v>0.84419999999999951</v>
      </c>
      <c r="D42" s="4">
        <f t="shared" si="10"/>
        <v>3.5583999999999989</v>
      </c>
      <c r="E42" s="5">
        <f t="shared" si="8"/>
        <v>536.02265087999967</v>
      </c>
      <c r="F42" s="5">
        <f t="shared" si="1"/>
        <v>860.78410809813113</v>
      </c>
      <c r="G42" s="35">
        <f t="shared" si="2"/>
        <v>1.4519147147005576</v>
      </c>
      <c r="H42" s="4">
        <f t="shared" si="3"/>
        <v>0.29896712068772069</v>
      </c>
      <c r="I42" s="4">
        <f t="shared" si="9"/>
        <v>4.6158921985319172E-2</v>
      </c>
      <c r="J42" s="4">
        <f t="shared" si="4"/>
        <v>0.81550805711281116</v>
      </c>
      <c r="K42" s="4">
        <f t="shared" si="5"/>
        <v>61.317582093221034</v>
      </c>
      <c r="L42" s="4">
        <f t="shared" si="6"/>
        <v>272.25006449390139</v>
      </c>
      <c r="M42" s="4">
        <f t="shared" si="7"/>
        <v>2.8303534881693935</v>
      </c>
    </row>
    <row r="43" spans="2:13" x14ac:dyDescent="0.3">
      <c r="B43" s="2">
        <v>18</v>
      </c>
      <c r="C43" s="2">
        <f t="shared" si="0"/>
        <v>0.87179999999999946</v>
      </c>
      <c r="D43" s="4">
        <f t="shared" si="10"/>
        <v>3.5307999999999988</v>
      </c>
      <c r="E43" s="5">
        <f t="shared" si="8"/>
        <v>542.48272895999969</v>
      </c>
      <c r="F43" s="5">
        <f t="shared" si="1"/>
        <v>874.10672865117988</v>
      </c>
      <c r="G43" s="35">
        <f t="shared" si="2"/>
        <v>1.4540336681590833</v>
      </c>
      <c r="H43" s="4">
        <f t="shared" si="3"/>
        <v>0.29997901715351599</v>
      </c>
      <c r="I43" s="4">
        <f t="shared" si="9"/>
        <v>4.6003217594841876E-2</v>
      </c>
      <c r="J43" s="4">
        <f t="shared" si="4"/>
        <v>0.86151127470765299</v>
      </c>
      <c r="K43" s="4">
        <f t="shared" si="5"/>
        <v>62.357486326451323</v>
      </c>
      <c r="L43" s="4">
        <f t="shared" si="6"/>
        <v>276.86723928944389</v>
      </c>
      <c r="M43" s="4">
        <f t="shared" si="7"/>
        <v>2.8686450121431171</v>
      </c>
    </row>
    <row r="44" spans="2:13" x14ac:dyDescent="0.3">
      <c r="B44" s="2">
        <v>19</v>
      </c>
      <c r="C44" s="2">
        <f t="shared" si="0"/>
        <v>0.89939999999999942</v>
      </c>
      <c r="D44" s="4">
        <f t="shared" si="10"/>
        <v>3.5031999999999988</v>
      </c>
      <c r="E44" s="5">
        <f t="shared" si="8"/>
        <v>548.65029119999963</v>
      </c>
      <c r="F44" s="5">
        <f t="shared" si="1"/>
        <v>886.86792430465766</v>
      </c>
      <c r="G44" s="35">
        <f t="shared" si="2"/>
        <v>1.4560268459239771</v>
      </c>
      <c r="H44" s="4">
        <f t="shared" si="3"/>
        <v>0.30093705352324834</v>
      </c>
      <c r="I44" s="4">
        <f t="shared" si="9"/>
        <v>4.5856765853307946E-2</v>
      </c>
      <c r="J44" s="4">
        <f t="shared" si="4"/>
        <v>0.90736804056096099</v>
      </c>
      <c r="K44" s="4">
        <f t="shared" si="5"/>
        <v>63.354578291407329</v>
      </c>
      <c r="L44" s="4">
        <f t="shared" si="6"/>
        <v>281.29432761384857</v>
      </c>
      <c r="M44" s="4">
        <f t="shared" si="7"/>
        <v>2.9052360624441325</v>
      </c>
    </row>
    <row r="45" spans="2:13" x14ac:dyDescent="0.3">
      <c r="B45" s="2">
        <v>20</v>
      </c>
      <c r="C45" s="2">
        <f t="shared" si="0"/>
        <v>0.92699999999999938</v>
      </c>
      <c r="D45" s="4">
        <f t="shared" si="10"/>
        <v>3.4755999999999987</v>
      </c>
      <c r="E45" s="5">
        <f t="shared" si="8"/>
        <v>554.5253375999996</v>
      </c>
      <c r="F45" s="5">
        <f t="shared" si="1"/>
        <v>899.0615738011486</v>
      </c>
      <c r="G45" s="35">
        <f t="shared" si="2"/>
        <v>1.4578990936406089</v>
      </c>
      <c r="H45" s="4">
        <f t="shared" si="3"/>
        <v>0.30184248794957147</v>
      </c>
      <c r="I45" s="4">
        <f t="shared" si="9"/>
        <v>4.5719209690272475E-2</v>
      </c>
      <c r="J45" s="4">
        <f t="shared" si="4"/>
        <v>0.95308725025123342</v>
      </c>
      <c r="K45" s="4">
        <f t="shared" si="5"/>
        <v>64.308232940866148</v>
      </c>
      <c r="L45" s="4">
        <f t="shared" si="6"/>
        <v>285.52855425744571</v>
      </c>
      <c r="M45" s="4">
        <f t="shared" si="7"/>
        <v>2.9401215866343473</v>
      </c>
    </row>
    <row r="46" spans="2:13" x14ac:dyDescent="0.3">
      <c r="B46" s="2">
        <v>21</v>
      </c>
      <c r="C46" s="2">
        <f t="shared" si="0"/>
        <v>0.95459999999999934</v>
      </c>
      <c r="D46" s="4">
        <f t="shared" si="10"/>
        <v>3.4479999999999986</v>
      </c>
      <c r="E46" s="5">
        <f t="shared" si="8"/>
        <v>560.10786815999961</v>
      </c>
      <c r="F46" s="5">
        <f t="shared" si="1"/>
        <v>910.6819240213282</v>
      </c>
      <c r="G46" s="35">
        <f t="shared" si="2"/>
        <v>1.4596548394323896</v>
      </c>
      <c r="H46" s="4">
        <f t="shared" si="3"/>
        <v>0.30269648201872962</v>
      </c>
      <c r="I46" s="4">
        <f t="shared" si="9"/>
        <v>4.5590222614962907E-2</v>
      </c>
      <c r="J46" s="4">
        <f t="shared" si="4"/>
        <v>0.99867747286619635</v>
      </c>
      <c r="K46" s="4">
        <f t="shared" si="5"/>
        <v>65.217862681334083</v>
      </c>
      <c r="L46" s="4">
        <f t="shared" si="6"/>
        <v>289.56731030512333</v>
      </c>
      <c r="M46" s="4">
        <f t="shared" si="7"/>
        <v>2.9732968781141027</v>
      </c>
    </row>
    <row r="47" spans="2:13" x14ac:dyDescent="0.3">
      <c r="B47" s="2">
        <v>22</v>
      </c>
      <c r="C47" s="2">
        <f t="shared" si="0"/>
        <v>0.9821999999999993</v>
      </c>
      <c r="D47" s="4">
        <f t="shared" si="10"/>
        <v>3.4203999999999986</v>
      </c>
      <c r="E47" s="5">
        <f t="shared" si="8"/>
        <v>565.39788287999954</v>
      </c>
      <c r="F47" s="5">
        <f t="shared" si="1"/>
        <v>921.72357684555448</v>
      </c>
      <c r="G47" s="35">
        <f t="shared" si="2"/>
        <v>1.4612981294539682</v>
      </c>
      <c r="H47" s="4">
        <f t="shared" si="3"/>
        <v>0.30350010745113332</v>
      </c>
      <c r="I47" s="4">
        <f t="shared" si="9"/>
        <v>4.546950614250423E-2</v>
      </c>
      <c r="J47" s="4">
        <f t="shared" si="4"/>
        <v>1.0441469790087006</v>
      </c>
      <c r="K47" s="4">
        <f t="shared" si="5"/>
        <v>66.082916055853332</v>
      </c>
      <c r="L47" s="4">
        <f t="shared" si="6"/>
        <v>293.40814728798881</v>
      </c>
      <c r="M47" s="4">
        <f t="shared" si="7"/>
        <v>3.0047575575162146</v>
      </c>
    </row>
    <row r="48" spans="2:13" x14ac:dyDescent="0.3">
      <c r="B48" s="2">
        <v>23</v>
      </c>
      <c r="C48" s="2">
        <f t="shared" si="0"/>
        <v>1.0097999999999994</v>
      </c>
      <c r="D48" s="4">
        <f t="shared" si="10"/>
        <v>3.3927999999999985</v>
      </c>
      <c r="E48" s="5">
        <f t="shared" si="8"/>
        <v>570.39538175999962</v>
      </c>
      <c r="F48" s="5">
        <f t="shared" si="1"/>
        <v>932.18147717180216</v>
      </c>
      <c r="G48" s="35">
        <f t="shared" si="2"/>
        <v>1.4628326592393583</v>
      </c>
      <c r="H48" s="4">
        <f t="shared" si="3"/>
        <v>0.30425435208428114</v>
      </c>
      <c r="I48" s="4">
        <f t="shared" si="9"/>
        <v>4.5356787521571025E-2</v>
      </c>
      <c r="J48" s="4">
        <f t="shared" si="4"/>
        <v>1.0895037665302716</v>
      </c>
      <c r="K48" s="4">
        <f t="shared" si="5"/>
        <v>66.902876542421694</v>
      </c>
      <c r="L48" s="4">
        <f t="shared" si="6"/>
        <v>297.04877184835237</v>
      </c>
      <c r="M48" s="4">
        <f t="shared" si="7"/>
        <v>3.0344995559165193</v>
      </c>
    </row>
    <row r="49" spans="2:13" x14ac:dyDescent="0.3">
      <c r="B49" s="2">
        <v>24</v>
      </c>
      <c r="C49" s="2">
        <f t="shared" si="0"/>
        <v>1.0373999999999994</v>
      </c>
      <c r="D49" s="4">
        <f t="shared" si="10"/>
        <v>3.3651999999999984</v>
      </c>
      <c r="E49" s="5">
        <f t="shared" si="8"/>
        <v>575.10036479999962</v>
      </c>
      <c r="F49" s="5">
        <f t="shared" si="1"/>
        <v>942.05090199145036</v>
      </c>
      <c r="G49" s="35">
        <f t="shared" si="2"/>
        <v>1.4642618013791102</v>
      </c>
      <c r="H49" s="4">
        <f t="shared" si="3"/>
        <v>0.30496012521881544</v>
      </c>
      <c r="I49" s="4">
        <f t="shared" si="9"/>
        <v>4.5251817725672182E-2</v>
      </c>
      <c r="J49" s="4">
        <f t="shared" si="4"/>
        <v>1.1347555842559438</v>
      </c>
      <c r="K49" s="4">
        <f t="shared" si="5"/>
        <v>67.677261458221324</v>
      </c>
      <c r="L49" s="4">
        <f t="shared" si="6"/>
        <v>300.48704087450272</v>
      </c>
      <c r="M49" s="4">
        <f t="shared" si="7"/>
        <v>3.0625190996800904</v>
      </c>
    </row>
    <row r="50" spans="2:13" x14ac:dyDescent="0.3">
      <c r="B50" s="2">
        <v>25</v>
      </c>
      <c r="C50" s="2">
        <f t="shared" si="0"/>
        <v>1.0649999999999995</v>
      </c>
      <c r="D50" s="4">
        <f t="shared" si="10"/>
        <v>3.3375999999999983</v>
      </c>
      <c r="E50" s="5">
        <f t="shared" si="8"/>
        <v>579.51283199999955</v>
      </c>
      <c r="F50" s="5">
        <f t="shared" si="1"/>
        <v>951.32745043628051</v>
      </c>
      <c r="G50" s="35">
        <f t="shared" si="2"/>
        <v>1.4655886299798271</v>
      </c>
      <c r="H50" s="4">
        <f t="shared" si="3"/>
        <v>0.30561826239723378</v>
      </c>
      <c r="I50" s="4">
        <f t="shared" si="9"/>
        <v>4.515436967592977E-2</v>
      </c>
      <c r="J50" s="4">
        <f t="shared" si="4"/>
        <v>1.1799099539318736</v>
      </c>
      <c r="K50" s="4">
        <f t="shared" si="5"/>
        <v>68.405620961030095</v>
      </c>
      <c r="L50" s="4">
        <f t="shared" si="6"/>
        <v>303.72095706697365</v>
      </c>
      <c r="M50" s="4">
        <f t="shared" si="7"/>
        <v>3.0888126967858831</v>
      </c>
    </row>
    <row r="51" spans="2:13" x14ac:dyDescent="0.3">
      <c r="B51" s="2">
        <v>26</v>
      </c>
      <c r="C51" s="2">
        <f t="shared" si="0"/>
        <v>1.0925999999999996</v>
      </c>
      <c r="D51" s="4">
        <f t="shared" si="10"/>
        <v>3.3099999999999983</v>
      </c>
      <c r="E51" s="5">
        <f t="shared" si="8"/>
        <v>583.63278335999962</v>
      </c>
      <c r="F51" s="5">
        <f t="shared" si="1"/>
        <v>960.00703472030261</v>
      </c>
      <c r="G51" s="35">
        <f t="shared" si="2"/>
        <v>1.4668159422916955</v>
      </c>
      <c r="H51" s="4">
        <f t="shared" si="3"/>
        <v>0.30622952967520228</v>
      </c>
      <c r="I51" s="4">
        <f t="shared" si="9"/>
        <v>4.5064236667955442E-2</v>
      </c>
      <c r="J51" s="4">
        <f t="shared" si="4"/>
        <v>1.224974190599829</v>
      </c>
      <c r="K51" s="4">
        <f t="shared" si="5"/>
        <v>69.08753714020844</v>
      </c>
      <c r="L51" s="4">
        <f t="shared" si="6"/>
        <v>306.74866490252549</v>
      </c>
      <c r="M51" s="4">
        <f t="shared" si="7"/>
        <v>3.1133771244925148</v>
      </c>
    </row>
    <row r="52" spans="2:13" x14ac:dyDescent="0.3">
      <c r="B52" s="2">
        <v>27</v>
      </c>
      <c r="C52" s="2">
        <f t="shared" si="0"/>
        <v>1.1201999999999996</v>
      </c>
      <c r="D52" s="4">
        <f t="shared" si="10"/>
        <v>3.2823999999999982</v>
      </c>
      <c r="E52" s="5">
        <f t="shared" si="8"/>
        <v>587.46021887999962</v>
      </c>
      <c r="F52" s="5">
        <f t="shared" si="1"/>
        <v>968.08587190909805</v>
      </c>
      <c r="G52" s="35">
        <f t="shared" si="2"/>
        <v>1.4679462778329193</v>
      </c>
      <c r="H52" s="4">
        <f t="shared" si="3"/>
        <v>0.30679462743724467</v>
      </c>
      <c r="I52" s="4">
        <f t="shared" si="9"/>
        <v>4.4981230979420625E-2</v>
      </c>
      <c r="J52" s="4">
        <f t="shared" si="4"/>
        <v>1.2699554215792497</v>
      </c>
      <c r="K52" s="4">
        <f t="shared" si="5"/>
        <v>69.722623190556476</v>
      </c>
      <c r="L52" s="4">
        <f t="shared" si="6"/>
        <v>309.56844696607078</v>
      </c>
      <c r="M52" s="4">
        <f t="shared" si="7"/>
        <v>3.1362094182255298</v>
      </c>
    </row>
    <row r="53" spans="2:13" x14ac:dyDescent="0.3">
      <c r="B53" s="2">
        <v>28</v>
      </c>
      <c r="C53" s="2">
        <f t="shared" si="0"/>
        <v>1.1477999999999997</v>
      </c>
      <c r="D53" s="4">
        <f t="shared" si="10"/>
        <v>3.2547999999999981</v>
      </c>
      <c r="E53" s="5">
        <f t="shared" si="8"/>
        <v>590.99513855999965</v>
      </c>
      <c r="F53" s="5">
        <f t="shared" si="1"/>
        <v>975.56047645732849</v>
      </c>
      <c r="G53" s="35">
        <f t="shared" si="2"/>
        <v>1.4689819352920177</v>
      </c>
      <c r="H53" s="4">
        <f t="shared" si="3"/>
        <v>0.30731419380158326</v>
      </c>
      <c r="I53" s="4">
        <f t="shared" si="9"/>
        <v>4.4905182638293434E-2</v>
      </c>
      <c r="J53" s="4">
        <f t="shared" si="4"/>
        <v>1.314860604217543</v>
      </c>
      <c r="K53" s="4">
        <f t="shared" si="5"/>
        <v>70.310522663127571</v>
      </c>
      <c r="L53" s="4">
        <f t="shared" si="6"/>
        <v>312.17872062428643</v>
      </c>
      <c r="M53" s="4">
        <f t="shared" si="7"/>
        <v>3.1573068615816133</v>
      </c>
    </row>
    <row r="54" spans="2:13" x14ac:dyDescent="0.3">
      <c r="B54" s="2">
        <v>29</v>
      </c>
      <c r="C54" s="2">
        <f t="shared" si="0"/>
        <v>1.1753999999999998</v>
      </c>
      <c r="D54" s="4">
        <f t="shared" si="10"/>
        <v>3.2271999999999981</v>
      </c>
      <c r="E54" s="5">
        <f t="shared" si="8"/>
        <v>594.2375423999996</v>
      </c>
      <c r="F54" s="5">
        <f t="shared" si="1"/>
        <v>982.42765346206784</v>
      </c>
      <c r="G54" s="35">
        <f t="shared" si="2"/>
        <v>1.4699249874482971</v>
      </c>
      <c r="H54" s="4">
        <f t="shared" si="3"/>
        <v>0.30778880765287076</v>
      </c>
      <c r="I54" s="4">
        <f t="shared" si="9"/>
        <v>4.4835938334586441E-2</v>
      </c>
      <c r="J54" s="4">
        <f t="shared" si="4"/>
        <v>1.3596965425521295</v>
      </c>
      <c r="K54" s="4">
        <f t="shared" si="5"/>
        <v>70.850908787781918</v>
      </c>
      <c r="L54" s="4">
        <f t="shared" si="6"/>
        <v>314.57803501775174</v>
      </c>
      <c r="M54" s="4">
        <f t="shared" si="7"/>
        <v>3.1766669773583986</v>
      </c>
    </row>
    <row r="55" spans="2:13" x14ac:dyDescent="0.3">
      <c r="B55" s="2">
        <v>30</v>
      </c>
      <c r="C55" s="2">
        <f t="shared" si="0"/>
        <v>1.2029999999999998</v>
      </c>
      <c r="D55" s="4">
        <f t="shared" si="10"/>
        <v>3.199599999999998</v>
      </c>
      <c r="E55" s="5">
        <f t="shared" si="8"/>
        <v>597.1874303999997</v>
      </c>
      <c r="F55" s="5">
        <f t="shared" si="1"/>
        <v>988.68449258587134</v>
      </c>
      <c r="G55" s="35">
        <f t="shared" si="2"/>
        <v>1.4707772943161719</v>
      </c>
      <c r="H55" s="4">
        <f t="shared" si="3"/>
        <v>0.30821899133633723</v>
      </c>
      <c r="I55" s="4">
        <f t="shared" si="9"/>
        <v>4.4773360460910246E-2</v>
      </c>
      <c r="J55" s="4">
        <f t="shared" si="4"/>
        <v>1.4044699030130396</v>
      </c>
      <c r="K55" s="4">
        <f t="shared" si="5"/>
        <v>71.343483862886075</v>
      </c>
      <c r="L55" s="4">
        <f t="shared" si="6"/>
        <v>316.76506835121421</v>
      </c>
      <c r="M55" s="4">
        <f t="shared" si="7"/>
        <v>3.1942875195301315</v>
      </c>
    </row>
    <row r="56" spans="2:13" x14ac:dyDescent="0.3">
      <c r="B56" s="2">
        <v>31</v>
      </c>
      <c r="C56" s="2">
        <f t="shared" si="0"/>
        <v>1.2305999999999999</v>
      </c>
      <c r="D56" s="4">
        <f t="shared" si="10"/>
        <v>3.1719999999999979</v>
      </c>
      <c r="E56" s="5">
        <f t="shared" si="8"/>
        <v>599.84480255999972</v>
      </c>
      <c r="F56" s="5">
        <f t="shared" si="1"/>
        <v>994.32836260909608</v>
      </c>
      <c r="G56" s="35">
        <f t="shared" si="2"/>
        <v>1.4715405146893545</v>
      </c>
      <c r="H56" s="4">
        <f t="shared" si="3"/>
        <v>0.30860521304233823</v>
      </c>
      <c r="I56" s="4">
        <f t="shared" si="9"/>
        <v>4.4717326269231708E-2</v>
      </c>
      <c r="J56" s="4">
        <f t="shared" si="4"/>
        <v>1.4491872292822714</v>
      </c>
      <c r="K56" s="4">
        <f t="shared" si="5"/>
        <v>71.787978708121855</v>
      </c>
      <c r="L56" s="4">
        <f t="shared" si="6"/>
        <v>318.73862546406104</v>
      </c>
      <c r="M56" s="4">
        <f t="shared" si="7"/>
        <v>3.2101664660997438</v>
      </c>
    </row>
    <row r="57" spans="2:13" x14ac:dyDescent="0.3">
      <c r="B57" s="2">
        <v>32</v>
      </c>
      <c r="C57" s="2">
        <f t="shared" si="0"/>
        <v>1.2582</v>
      </c>
      <c r="D57" s="4">
        <f t="shared" si="10"/>
        <v>3.1443999999999979</v>
      </c>
      <c r="E57" s="5">
        <f t="shared" si="8"/>
        <v>602.20965887999967</v>
      </c>
      <c r="F57" s="5">
        <f t="shared" si="1"/>
        <v>999.35690657594057</v>
      </c>
      <c r="G57" s="35">
        <f t="shared" si="2"/>
        <v>1.4722161162353602</v>
      </c>
      <c r="H57" s="4">
        <f t="shared" si="3"/>
        <v>0.30894788890631936</v>
      </c>
      <c r="I57" s="4">
        <f t="shared" si="9"/>
        <v>4.4667727133052205E-2</v>
      </c>
      <c r="J57" s="4">
        <f t="shared" si="4"/>
        <v>1.4938549564153236</v>
      </c>
      <c r="K57" s="4">
        <f t="shared" si="5"/>
        <v>72.184152176861801</v>
      </c>
      <c r="L57" s="4">
        <f t="shared" si="6"/>
        <v>320.49763566526644</v>
      </c>
      <c r="M57" s="4">
        <f t="shared" si="7"/>
        <v>3.2243020127667794</v>
      </c>
    </row>
    <row r="58" spans="2:13" x14ac:dyDescent="0.3">
      <c r="B58" s="2">
        <v>33</v>
      </c>
      <c r="C58" s="2">
        <f t="shared" ref="C58:C75" si="11">C57+$L$3</f>
        <v>1.2858000000000001</v>
      </c>
      <c r="D58" s="4">
        <f t="shared" si="10"/>
        <v>3.1167999999999978</v>
      </c>
      <c r="E58" s="5">
        <f t="shared" si="8"/>
        <v>604.28199935999976</v>
      </c>
      <c r="F58" s="5">
        <f t="shared" ref="F58:F75" si="12">(((E58*$G$3*$G$4*($G$6*39.37))/(386.4))^(1/(1-$G$5)))*0.95</f>
        <v>1003.76803750325</v>
      </c>
      <c r="G58" s="35">
        <f t="shared" ref="G58:G75" si="13">(SQRT((2*($G$7^2)/($G$7-1))*((2/($G$7+1))^(($G$7+1)/($G$7-1)))*((1-($C$7/F58)^(($G$7-1)/$G$7)))))*0.9</f>
        <v>1.4728053842686437</v>
      </c>
      <c r="H58" s="4">
        <f t="shared" ref="H58:H75" si="14">$G$4*F58^$G$5</f>
        <v>0.30924738484572567</v>
      </c>
      <c r="I58" s="4">
        <f t="shared" si="9"/>
        <v>4.4624467905797847E-2</v>
      </c>
      <c r="J58" s="4">
        <f t="shared" ref="J58:J76" si="15">J57+I58</f>
        <v>1.5384794243211215</v>
      </c>
      <c r="K58" s="4">
        <f t="shared" ref="K58:K75" si="16">(3.14*($C$6/2)^2)*F58*G58</f>
        <v>72.531790725023242</v>
      </c>
      <c r="L58" s="4">
        <f t="shared" ref="L58:L76" si="17">K58*4.44</f>
        <v>322.04115081910322</v>
      </c>
      <c r="M58" s="4">
        <f t="shared" ref="M58:M76" si="18">K58*I58</f>
        <v>3.2366925673588458</v>
      </c>
    </row>
    <row r="59" spans="2:13" x14ac:dyDescent="0.3">
      <c r="B59" s="2">
        <v>34</v>
      </c>
      <c r="C59" s="2">
        <f t="shared" si="11"/>
        <v>1.3134000000000001</v>
      </c>
      <c r="D59" s="4">
        <f t="shared" si="10"/>
        <v>3.0891999999999977</v>
      </c>
      <c r="E59" s="5">
        <f t="shared" si="8"/>
        <v>606.06182399999966</v>
      </c>
      <c r="F59" s="5">
        <f t="shared" si="12"/>
        <v>1007.5599346251812</v>
      </c>
      <c r="G59" s="35">
        <f t="shared" si="13"/>
        <v>1.4733094293113422</v>
      </c>
      <c r="H59" s="4">
        <f t="shared" si="14"/>
        <v>0.3095040181522869</v>
      </c>
      <c r="I59" s="4">
        <f t="shared" si="9"/>
        <v>4.4587466367593045E-2</v>
      </c>
      <c r="J59" s="4">
        <f t="shared" si="15"/>
        <v>1.5830668906887146</v>
      </c>
      <c r="K59" s="4">
        <f t="shared" si="16"/>
        <v>72.830708033717826</v>
      </c>
      <c r="L59" s="4">
        <f t="shared" si="17"/>
        <v>323.3683436697072</v>
      </c>
      <c r="M59" s="4">
        <f t="shared" si="18"/>
        <v>3.2473367449813821</v>
      </c>
    </row>
    <row r="60" spans="2:13" x14ac:dyDescent="0.3">
      <c r="B60" s="2">
        <v>35</v>
      </c>
      <c r="C60" s="2">
        <f t="shared" si="11"/>
        <v>1.3410000000000002</v>
      </c>
      <c r="D60" s="4">
        <f t="shared" si="10"/>
        <v>3.0615999999999977</v>
      </c>
      <c r="E60" s="5">
        <f t="shared" si="8"/>
        <v>607.5491327999996</v>
      </c>
      <c r="F60" s="5">
        <f t="shared" si="12"/>
        <v>1010.7310401506094</v>
      </c>
      <c r="G60" s="35">
        <f t="shared" si="13"/>
        <v>1.4737291935336205</v>
      </c>
      <c r="H60" s="4">
        <f t="shared" si="14"/>
        <v>0.30971805885535819</v>
      </c>
      <c r="I60" s="4">
        <f t="shared" si="9"/>
        <v>4.4556652753802627E-2</v>
      </c>
      <c r="J60" s="4">
        <f t="shared" si="15"/>
        <v>1.6276235434425173</v>
      </c>
      <c r="K60" s="4">
        <f t="shared" si="16"/>
        <v>73.080744683389725</v>
      </c>
      <c r="L60" s="4">
        <f t="shared" si="17"/>
        <v>324.47850639425042</v>
      </c>
      <c r="M60" s="4">
        <f t="shared" si="18"/>
        <v>3.2562333638471035</v>
      </c>
    </row>
    <row r="61" spans="2:13" x14ac:dyDescent="0.3">
      <c r="B61" s="2">
        <v>36</v>
      </c>
      <c r="C61" s="2">
        <f t="shared" si="11"/>
        <v>1.3686000000000003</v>
      </c>
      <c r="D61" s="4">
        <f t="shared" si="10"/>
        <v>3.0339999999999976</v>
      </c>
      <c r="E61" s="5">
        <f t="shared" si="8"/>
        <v>608.74392575999968</v>
      </c>
      <c r="F61" s="5">
        <f t="shared" si="12"/>
        <v>1013.2800565135922</v>
      </c>
      <c r="G61" s="35">
        <f t="shared" si="13"/>
        <v>1.474065456150526</v>
      </c>
      <c r="H61" s="4">
        <f t="shared" si="14"/>
        <v>0.30988973086951027</v>
      </c>
      <c r="I61" s="4">
        <f t="shared" si="9"/>
        <v>4.4531969359807425E-2</v>
      </c>
      <c r="J61" s="4">
        <f t="shared" si="15"/>
        <v>1.6721555128023247</v>
      </c>
      <c r="K61" s="4">
        <f t="shared" si="16"/>
        <v>73.281767877478572</v>
      </c>
      <c r="L61" s="4">
        <f t="shared" si="17"/>
        <v>325.37104937600486</v>
      </c>
      <c r="M61" s="4">
        <f t="shared" si="18"/>
        <v>3.2633814417523959</v>
      </c>
    </row>
    <row r="62" spans="2:13" x14ac:dyDescent="0.3">
      <c r="B62" s="2">
        <v>37</v>
      </c>
      <c r="C62" s="2">
        <f t="shared" si="11"/>
        <v>1.3962000000000003</v>
      </c>
      <c r="D62" s="4">
        <f t="shared" si="10"/>
        <v>3.0063999999999975</v>
      </c>
      <c r="E62" s="5">
        <f t="shared" si="8"/>
        <v>609.64620287999958</v>
      </c>
      <c r="F62" s="5">
        <f t="shared" si="12"/>
        <v>1015.2059441004252</v>
      </c>
      <c r="G62" s="35">
        <f t="shared" si="13"/>
        <v>1.4743188378387724</v>
      </c>
      <c r="H62" s="4">
        <f t="shared" si="14"/>
        <v>0.31001921293731111</v>
      </c>
      <c r="I62" s="4">
        <f t="shared" si="9"/>
        <v>4.4513370217446793E-2</v>
      </c>
      <c r="J62" s="4">
        <f t="shared" si="15"/>
        <v>1.7166688830197714</v>
      </c>
      <c r="K62" s="4">
        <f t="shared" si="16"/>
        <v>73.433671213964061</v>
      </c>
      <c r="L62" s="4">
        <f t="shared" si="17"/>
        <v>326.04550019000044</v>
      </c>
      <c r="M62" s="4">
        <f t="shared" si="18"/>
        <v>3.2687801931734479</v>
      </c>
    </row>
    <row r="63" spans="2:13" x14ac:dyDescent="0.3">
      <c r="B63" s="2">
        <v>38</v>
      </c>
      <c r="C63" s="2">
        <f t="shared" si="11"/>
        <v>1.4238000000000004</v>
      </c>
      <c r="D63" s="4">
        <f t="shared" si="10"/>
        <v>2.9787999999999974</v>
      </c>
      <c r="E63" s="5">
        <f t="shared" si="8"/>
        <v>610.25596415999962</v>
      </c>
      <c r="F63" s="5">
        <f t="shared" si="12"/>
        <v>1016.5079194398278</v>
      </c>
      <c r="G63" s="35">
        <f t="shared" si="13"/>
        <v>1.4744898042246291</v>
      </c>
      <c r="H63" s="4">
        <f t="shared" si="14"/>
        <v>0.31010663937617805</v>
      </c>
      <c r="I63" s="4">
        <f t="shared" si="9"/>
        <v>4.4500820839439584E-2</v>
      </c>
      <c r="J63" s="4">
        <f t="shared" si="15"/>
        <v>1.7611697038592109</v>
      </c>
      <c r="K63" s="4">
        <f t="shared" si="16"/>
        <v>73.536374503448698</v>
      </c>
      <c r="L63" s="4">
        <f t="shared" si="17"/>
        <v>326.50150279531226</v>
      </c>
      <c r="M63" s="4">
        <f t="shared" si="18"/>
        <v>3.2724290269599035</v>
      </c>
    </row>
    <row r="64" spans="2:13" x14ac:dyDescent="0.3">
      <c r="B64" s="2">
        <v>39</v>
      </c>
      <c r="C64" s="2">
        <f t="shared" si="11"/>
        <v>1.4514000000000005</v>
      </c>
      <c r="D64" s="4">
        <f t="shared" si="10"/>
        <v>2.9511999999999974</v>
      </c>
      <c r="E64" s="5">
        <f t="shared" si="8"/>
        <v>610.57320959999959</v>
      </c>
      <c r="F64" s="5">
        <f t="shared" si="12"/>
        <v>1017.1854538456296</v>
      </c>
      <c r="G64" s="35">
        <f t="shared" si="13"/>
        <v>1.4745786684828726</v>
      </c>
      <c r="H64" s="4">
        <f t="shared" si="14"/>
        <v>0.31015210063625703</v>
      </c>
      <c r="I64" s="4">
        <f t="shared" si="9"/>
        <v>4.4494298028903208E-2</v>
      </c>
      <c r="J64" s="4">
        <f t="shared" si="15"/>
        <v>1.805664001888114</v>
      </c>
      <c r="K64" s="4">
        <f t="shared" si="16"/>
        <v>73.589823632718151</v>
      </c>
      <c r="L64" s="4">
        <f t="shared" si="17"/>
        <v>326.73881692926864</v>
      </c>
      <c r="M64" s="4">
        <f t="shared" si="18"/>
        <v>3.2743275446085858</v>
      </c>
    </row>
    <row r="65" spans="1:13" x14ac:dyDescent="0.3">
      <c r="B65" s="2">
        <v>40</v>
      </c>
      <c r="C65" s="2">
        <f t="shared" si="11"/>
        <v>1.4790000000000005</v>
      </c>
      <c r="D65" s="4">
        <f t="shared" si="10"/>
        <v>2.9235999999999973</v>
      </c>
      <c r="E65" s="5">
        <f t="shared" si="8"/>
        <v>610.5979391999997</v>
      </c>
      <c r="F65" s="5">
        <f t="shared" si="12"/>
        <v>1017.2382725040376</v>
      </c>
      <c r="G65" s="35">
        <f t="shared" si="13"/>
        <v>1.4745855930762963</v>
      </c>
      <c r="H65" s="4">
        <f t="shared" si="14"/>
        <v>0.31015564367448262</v>
      </c>
      <c r="I65" s="4">
        <f t="shared" si="9"/>
        <v>4.4493789751843114E-2</v>
      </c>
      <c r="J65" s="4">
        <f t="shared" si="15"/>
        <v>1.8501577916399572</v>
      </c>
      <c r="K65" s="4">
        <f t="shared" si="16"/>
        <v>73.593990472988423</v>
      </c>
      <c r="L65" s="4">
        <f t="shared" si="17"/>
        <v>326.75731770006865</v>
      </c>
      <c r="M65" s="4">
        <f t="shared" si="18"/>
        <v>3.2744755391042921</v>
      </c>
    </row>
    <row r="66" spans="1:13" x14ac:dyDescent="0.3">
      <c r="B66" s="2">
        <v>41</v>
      </c>
      <c r="C66" s="2">
        <f t="shared" si="11"/>
        <v>1.5066000000000006</v>
      </c>
      <c r="D66" s="4">
        <f t="shared" si="10"/>
        <v>2.8959999999999972</v>
      </c>
      <c r="E66" s="5">
        <f t="shared" si="8"/>
        <v>610.33015295999951</v>
      </c>
      <c r="F66" s="5">
        <f t="shared" si="12"/>
        <v>1016.6663540002273</v>
      </c>
      <c r="G66" s="35">
        <f t="shared" si="13"/>
        <v>1.4745105906554075</v>
      </c>
      <c r="H66" s="4">
        <f t="shared" si="14"/>
        <v>0.31011727214825952</v>
      </c>
      <c r="I66" s="4">
        <f t="shared" si="9"/>
        <v>4.4499295071196668E-2</v>
      </c>
      <c r="J66" s="4">
        <f t="shared" si="15"/>
        <v>1.8946570867111538</v>
      </c>
      <c r="K66" s="4">
        <f t="shared" si="16"/>
        <v>73.548872832314913</v>
      </c>
      <c r="L66" s="4">
        <f t="shared" si="17"/>
        <v>326.55699537547827</v>
      </c>
      <c r="M66" s="4">
        <f t="shared" si="18"/>
        <v>3.2728729943191017</v>
      </c>
    </row>
    <row r="67" spans="1:13" x14ac:dyDescent="0.3">
      <c r="B67" s="2">
        <v>42</v>
      </c>
      <c r="C67" s="2">
        <f t="shared" si="11"/>
        <v>1.5342000000000007</v>
      </c>
      <c r="D67" s="4">
        <f t="shared" si="10"/>
        <v>2.8683999999999972</v>
      </c>
      <c r="E67" s="5">
        <f t="shared" si="8"/>
        <v>609.76985087999958</v>
      </c>
      <c r="F67" s="5">
        <f t="shared" si="12"/>
        <v>1015.4699302814645</v>
      </c>
      <c r="G67" s="35">
        <f t="shared" si="13"/>
        <v>1.4743535241284029</v>
      </c>
      <c r="H67" s="4">
        <f t="shared" si="14"/>
        <v>0.31003694643053192</v>
      </c>
      <c r="I67" s="4">
        <f t="shared" si="9"/>
        <v>4.4510824141703001E-2</v>
      </c>
      <c r="J67" s="4">
        <f t="shared" si="15"/>
        <v>1.9391679108528568</v>
      </c>
      <c r="K67" s="4">
        <f t="shared" si="16"/>
        <v>73.454494451885452</v>
      </c>
      <c r="L67" s="4">
        <f t="shared" si="17"/>
        <v>326.13795536637144</v>
      </c>
      <c r="M67" s="4">
        <f t="shared" si="18"/>
        <v>3.2695200849655723</v>
      </c>
    </row>
    <row r="68" spans="1:13" x14ac:dyDescent="0.3">
      <c r="B68" s="2">
        <v>43</v>
      </c>
      <c r="C68" s="2">
        <f t="shared" si="11"/>
        <v>1.5618000000000007</v>
      </c>
      <c r="D68" s="4">
        <f t="shared" si="10"/>
        <v>2.8407999999999971</v>
      </c>
      <c r="E68" s="5">
        <f t="shared" si="8"/>
        <v>608.91703295999957</v>
      </c>
      <c r="F68" s="5">
        <f t="shared" si="12"/>
        <v>1013.6494870566028</v>
      </c>
      <c r="G68" s="35">
        <f t="shared" si="13"/>
        <v>1.4741141059022209</v>
      </c>
      <c r="H68" s="4">
        <f t="shared" si="14"/>
        <v>0.30991458344638362</v>
      </c>
      <c r="I68" s="4">
        <f t="shared" si="9"/>
        <v>4.4528398265541613E-2</v>
      </c>
      <c r="J68" s="4">
        <f t="shared" si="15"/>
        <v>1.9836963091183983</v>
      </c>
      <c r="K68" s="4">
        <f t="shared" si="16"/>
        <v>73.310905046180665</v>
      </c>
      <c r="L68" s="4">
        <f t="shared" si="17"/>
        <v>325.50041840504218</v>
      </c>
      <c r="M68" s="4">
        <f t="shared" si="18"/>
        <v>3.264417177103637</v>
      </c>
    </row>
    <row r="69" spans="1:13" x14ac:dyDescent="0.3">
      <c r="B69" s="2">
        <v>44</v>
      </c>
      <c r="C69" s="2">
        <f t="shared" si="11"/>
        <v>1.5894000000000008</v>
      </c>
      <c r="D69" s="4">
        <f t="shared" si="10"/>
        <v>2.813199999999997</v>
      </c>
      <c r="E69" s="5">
        <f t="shared" si="8"/>
        <v>607.77169919999949</v>
      </c>
      <c r="F69" s="5">
        <f t="shared" si="12"/>
        <v>1011.2057646342246</v>
      </c>
      <c r="G69" s="35">
        <f t="shared" si="13"/>
        <v>1.4737918962861407</v>
      </c>
      <c r="H69" s="4">
        <f t="shared" si="14"/>
        <v>0.30975005632967068</v>
      </c>
      <c r="I69" s="4">
        <f t="shared" si="9"/>
        <v>4.455205000935495E-2</v>
      </c>
      <c r="J69" s="4">
        <f t="shared" si="15"/>
        <v>2.0282483591277534</v>
      </c>
      <c r="K69" s="4">
        <f t="shared" si="16"/>
        <v>73.118180387229032</v>
      </c>
      <c r="L69" s="4">
        <f t="shared" si="17"/>
        <v>324.6447209192969</v>
      </c>
      <c r="M69" s="4">
        <f t="shared" si="18"/>
        <v>3.2575648292048642</v>
      </c>
    </row>
    <row r="70" spans="1:13" x14ac:dyDescent="0.3">
      <c r="B70" s="2">
        <v>45</v>
      </c>
      <c r="C70" s="2">
        <f t="shared" si="11"/>
        <v>1.6170000000000009</v>
      </c>
      <c r="D70" s="4">
        <f t="shared" si="10"/>
        <v>2.785599999999997</v>
      </c>
      <c r="E70" s="5">
        <f t="shared" si="8"/>
        <v>606.33384959999955</v>
      </c>
      <c r="F70" s="5">
        <f t="shared" si="12"/>
        <v>1008.1397592042978</v>
      </c>
      <c r="G70" s="35">
        <f t="shared" si="13"/>
        <v>1.4733863010399431</v>
      </c>
      <c r="H70" s="4">
        <f t="shared" si="14"/>
        <v>0.30954319389653767</v>
      </c>
      <c r="I70" s="4">
        <f t="shared" si="9"/>
        <v>4.4581823383952481E-2</v>
      </c>
      <c r="J70" s="4">
        <f t="shared" si="15"/>
        <v>2.0728301825117059</v>
      </c>
      <c r="K70" s="4">
        <f t="shared" si="16"/>
        <v>72.876422433442229</v>
      </c>
      <c r="L70" s="4">
        <f t="shared" si="17"/>
        <v>323.57131560448352</v>
      </c>
      <c r="M70" s="4">
        <f t="shared" si="18"/>
        <v>3.2489637937820337</v>
      </c>
    </row>
    <row r="71" spans="1:13" x14ac:dyDescent="0.3">
      <c r="B71" s="2">
        <v>46</v>
      </c>
      <c r="C71" s="2">
        <f t="shared" si="11"/>
        <v>1.6446000000000009</v>
      </c>
      <c r="D71" s="4">
        <f t="shared" si="10"/>
        <v>2.7579999999999969</v>
      </c>
      <c r="E71" s="5">
        <f t="shared" si="8"/>
        <v>604.60348415999943</v>
      </c>
      <c r="F71" s="5">
        <f t="shared" si="12"/>
        <v>1004.4527245708178</v>
      </c>
      <c r="G71" s="35">
        <f t="shared" si="13"/>
        <v>1.4728965680388368</v>
      </c>
      <c r="H71" s="4">
        <f t="shared" si="14"/>
        <v>0.30929377993095569</v>
      </c>
      <c r="I71" s="4">
        <f t="shared" si="9"/>
        <v>4.4617774088701698E-2</v>
      </c>
      <c r="J71" s="4">
        <f t="shared" si="15"/>
        <v>2.1174479566004076</v>
      </c>
      <c r="K71" s="4">
        <f t="shared" si="16"/>
        <v>72.585759503776814</v>
      </c>
      <c r="L71" s="4">
        <f t="shared" si="17"/>
        <v>322.28077219676908</v>
      </c>
      <c r="M71" s="4">
        <f t="shared" si="18"/>
        <v>3.2386150195963461</v>
      </c>
    </row>
    <row r="72" spans="1:13" x14ac:dyDescent="0.3">
      <c r="B72" s="2">
        <v>47</v>
      </c>
      <c r="C72" s="2">
        <f t="shared" si="11"/>
        <v>1.672200000000001</v>
      </c>
      <c r="D72" s="4">
        <f t="shared" si="10"/>
        <v>2.7303999999999968</v>
      </c>
      <c r="E72" s="5">
        <f t="shared" si="8"/>
        <v>602.58060287999945</v>
      </c>
      <c r="F72" s="5">
        <f t="shared" si="12"/>
        <v>1000.1461743455724</v>
      </c>
      <c r="G72" s="35">
        <f t="shared" si="13"/>
        <v>1.4723217830170126</v>
      </c>
      <c r="H72" s="4">
        <f t="shared" si="14"/>
        <v>0.30900155227563758</v>
      </c>
      <c r="I72" s="4">
        <f t="shared" si="9"/>
        <v>4.4659969823355558E-2</v>
      </c>
      <c r="J72" s="4">
        <f t="shared" si="15"/>
        <v>2.1621079264237633</v>
      </c>
      <c r="K72" s="4">
        <f t="shared" si="16"/>
        <v>72.246346498233876</v>
      </c>
      <c r="L72" s="4">
        <f t="shared" si="17"/>
        <v>320.77377845215847</v>
      </c>
      <c r="M72" s="4">
        <f t="shared" si="18"/>
        <v>3.2265196544588144</v>
      </c>
    </row>
    <row r="73" spans="1:13" x14ac:dyDescent="0.3">
      <c r="B73" s="2">
        <v>48</v>
      </c>
      <c r="C73" s="2">
        <f t="shared" si="11"/>
        <v>1.6998000000000011</v>
      </c>
      <c r="D73" s="4">
        <f t="shared" si="10"/>
        <v>2.7027999999999968</v>
      </c>
      <c r="E73" s="5">
        <f t="shared" si="8"/>
        <v>600.26520575999939</v>
      </c>
      <c r="F73" s="5">
        <f t="shared" si="12"/>
        <v>995.22188461602559</v>
      </c>
      <c r="G73" s="35">
        <f t="shared" si="13"/>
        <v>1.4716608643406028</v>
      </c>
      <c r="H73" s="4">
        <f t="shared" si="14"/>
        <v>0.30866620171978765</v>
      </c>
      <c r="I73" s="4">
        <f t="shared" si="9"/>
        <v>4.4708490670863507E-2</v>
      </c>
      <c r="J73" s="4">
        <f t="shared" si="15"/>
        <v>2.2068164170946267</v>
      </c>
      <c r="K73" s="4">
        <f t="shared" si="16"/>
        <v>71.858365165993291</v>
      </c>
      <c r="L73" s="4">
        <f t="shared" si="17"/>
        <v>319.05114133701022</v>
      </c>
      <c r="M73" s="4">
        <f t="shared" si="18"/>
        <v>3.2126790486473142</v>
      </c>
    </row>
    <row r="74" spans="1:13" x14ac:dyDescent="0.3">
      <c r="B74" s="2">
        <v>49</v>
      </c>
      <c r="C74" s="2">
        <f t="shared" si="11"/>
        <v>1.7274000000000012</v>
      </c>
      <c r="D74" s="4">
        <f t="shared" si="10"/>
        <v>2.6751999999999967</v>
      </c>
      <c r="E74" s="5">
        <f t="shared" si="8"/>
        <v>597.65729279999937</v>
      </c>
      <c r="F74" s="5">
        <f t="shared" si="12"/>
        <v>989.68189710324918</v>
      </c>
      <c r="G74" s="35">
        <f t="shared" si="13"/>
        <v>1.4709125567487897</v>
      </c>
      <c r="H74" s="4">
        <f t="shared" si="14"/>
        <v>0.30828737067310369</v>
      </c>
      <c r="I74" s="4">
        <f t="shared" si="9"/>
        <v>4.4763429555578521E-2</v>
      </c>
      <c r="J74" s="4">
        <f t="shared" si="15"/>
        <v>2.2515798466502051</v>
      </c>
      <c r="K74" s="4">
        <f t="shared" si="16"/>
        <v>71.422024422772779</v>
      </c>
      <c r="L74" s="4">
        <f t="shared" si="17"/>
        <v>317.11378843711117</v>
      </c>
      <c r="M74" s="4">
        <f t="shared" si="18"/>
        <v>3.1970947589655978</v>
      </c>
    </row>
    <row r="75" spans="1:13" x14ac:dyDescent="0.3">
      <c r="B75" s="2">
        <v>50</v>
      </c>
      <c r="C75" s="2">
        <f t="shared" si="11"/>
        <v>1.7550000000000012</v>
      </c>
      <c r="D75" s="4">
        <f t="shared" si="10"/>
        <v>2.6475999999999966</v>
      </c>
      <c r="E75" s="5">
        <f t="shared" si="8"/>
        <v>594.75686399999938</v>
      </c>
      <c r="F75" s="5">
        <f t="shared" si="12"/>
        <v>983.52852282903598</v>
      </c>
      <c r="G75" s="35">
        <f t="shared" si="13"/>
        <v>1.4700754239885281</v>
      </c>
      <c r="H75" s="4">
        <f t="shared" si="14"/>
        <v>0.30786465161323107</v>
      </c>
      <c r="I75" s="4">
        <f t="shared" si="9"/>
        <v>4.4824892782224561E-2</v>
      </c>
      <c r="J75" s="4">
        <f t="shared" si="15"/>
        <v>2.2964047394324294</v>
      </c>
      <c r="K75" s="4">
        <f t="shared" si="16"/>
        <v>70.93756071932026</v>
      </c>
      <c r="L75" s="4">
        <f t="shared" si="17"/>
        <v>314.96276959378196</v>
      </c>
      <c r="M75" s="4">
        <f t="shared" si="18"/>
        <v>3.1797685534760753</v>
      </c>
    </row>
    <row r="76" spans="1:13" x14ac:dyDescent="0.3">
      <c r="A76" s="1" t="s">
        <v>21</v>
      </c>
      <c r="B76" s="2">
        <v>51</v>
      </c>
      <c r="C76" s="2">
        <v>0</v>
      </c>
      <c r="D76" s="2">
        <v>0</v>
      </c>
      <c r="E76" s="5">
        <v>0</v>
      </c>
      <c r="F76" s="5">
        <v>0</v>
      </c>
      <c r="G76" s="5">
        <v>0</v>
      </c>
      <c r="H76" s="5">
        <v>0</v>
      </c>
      <c r="I76" s="4">
        <f>I75</f>
        <v>4.4824892782224561E-2</v>
      </c>
      <c r="J76" s="4">
        <f t="shared" si="15"/>
        <v>2.3412296322146537</v>
      </c>
      <c r="K76" s="2">
        <v>0</v>
      </c>
      <c r="L76" s="4">
        <f t="shared" si="17"/>
        <v>0</v>
      </c>
      <c r="M76" s="4">
        <f t="shared" si="18"/>
        <v>0</v>
      </c>
    </row>
  </sheetData>
  <mergeCells count="4">
    <mergeCell ref="A2:D2"/>
    <mergeCell ref="E2:H2"/>
    <mergeCell ref="I2:M2"/>
    <mergeCell ref="A11:D1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DC01A-6CE6-466E-8BB2-74317A061870}">
  <dimension ref="B2:AD24"/>
  <sheetViews>
    <sheetView showGridLines="0" workbookViewId="0">
      <selection activeCell="P5" sqref="P5"/>
    </sheetView>
  </sheetViews>
  <sheetFormatPr defaultRowHeight="14.4" x14ac:dyDescent="0.3"/>
  <cols>
    <col min="1" max="1" width="3.44140625" customWidth="1"/>
    <col min="2" max="2" width="5" bestFit="1" customWidth="1"/>
    <col min="3" max="3" width="2.77734375" bestFit="1" customWidth="1"/>
    <col min="4" max="4" width="5" bestFit="1" customWidth="1"/>
    <col min="5" max="5" width="6.5546875" bestFit="1" customWidth="1"/>
    <col min="6" max="6" width="6.21875" bestFit="1" customWidth="1"/>
    <col min="7" max="7" width="5.5546875" bestFit="1" customWidth="1"/>
    <col min="8" max="8" width="2.77734375" bestFit="1" customWidth="1"/>
    <col min="9" max="10" width="6.5546875" bestFit="1" customWidth="1"/>
    <col min="11" max="11" width="6.21875" bestFit="1" customWidth="1"/>
    <col min="12" max="12" width="3.77734375" customWidth="1"/>
    <col min="13" max="13" width="3" bestFit="1" customWidth="1"/>
    <col min="14" max="14" width="4.88671875" style="13" customWidth="1"/>
    <col min="15" max="15" width="5" customWidth="1"/>
    <col min="16" max="16" width="6.5546875" bestFit="1" customWidth="1"/>
    <col min="17" max="17" width="5.5546875" bestFit="1" customWidth="1"/>
    <col min="18" max="18" width="6.5546875" bestFit="1" customWidth="1"/>
    <col min="19" max="19" width="2.77734375" bestFit="1" customWidth="1"/>
    <col min="20" max="20" width="6.5546875" bestFit="1" customWidth="1"/>
    <col min="21" max="21" width="7.33203125" customWidth="1"/>
    <col min="22" max="22" width="5.5546875" bestFit="1" customWidth="1"/>
    <col min="23" max="23" width="3.88671875" customWidth="1"/>
  </cols>
  <sheetData>
    <row r="2" spans="2:30" ht="20.399999999999999" x14ac:dyDescent="0.35">
      <c r="B2" s="48" t="s">
        <v>54</v>
      </c>
      <c r="C2" s="49"/>
      <c r="D2" s="49"/>
      <c r="E2" s="49"/>
      <c r="F2" s="49"/>
      <c r="G2" s="49"/>
      <c r="H2" s="49"/>
      <c r="I2" s="49"/>
      <c r="J2" s="49"/>
      <c r="K2" s="50"/>
      <c r="M2" s="48" t="s">
        <v>39</v>
      </c>
      <c r="N2" s="49"/>
      <c r="O2" s="49"/>
      <c r="P2" s="49"/>
      <c r="Q2" s="49"/>
      <c r="R2" s="49"/>
      <c r="S2" s="49"/>
      <c r="T2" s="49"/>
      <c r="U2" s="49"/>
      <c r="V2" s="50"/>
      <c r="X2" s="41" t="s">
        <v>51</v>
      </c>
      <c r="Y2" s="41"/>
      <c r="Z2" s="41"/>
      <c r="AA2" s="41"/>
      <c r="AB2" s="41"/>
      <c r="AC2" s="41"/>
      <c r="AD2" s="41"/>
    </row>
    <row r="3" spans="2:30" x14ac:dyDescent="0.3">
      <c r="B3" s="42" t="s">
        <v>34</v>
      </c>
      <c r="C3" s="43"/>
      <c r="D3" s="44"/>
      <c r="E3" s="15" t="s">
        <v>32</v>
      </c>
      <c r="F3" s="15" t="s">
        <v>33</v>
      </c>
      <c r="G3" s="42" t="s">
        <v>63</v>
      </c>
      <c r="H3" s="43"/>
      <c r="I3" s="44"/>
      <c r="J3" s="15" t="s">
        <v>32</v>
      </c>
      <c r="K3" s="15" t="s">
        <v>33</v>
      </c>
      <c r="M3" s="51"/>
      <c r="N3" s="51"/>
      <c r="O3" s="51"/>
      <c r="P3" s="15" t="s">
        <v>32</v>
      </c>
      <c r="Q3" s="15" t="s">
        <v>33</v>
      </c>
      <c r="R3" s="42" t="s">
        <v>63</v>
      </c>
      <c r="S3" s="43"/>
      <c r="T3" s="44"/>
      <c r="U3" s="15" t="s">
        <v>32</v>
      </c>
      <c r="V3" s="15" t="s">
        <v>33</v>
      </c>
      <c r="X3" s="19" t="s">
        <v>41</v>
      </c>
      <c r="Y3" s="10"/>
      <c r="Z3" s="10"/>
      <c r="AA3" s="10"/>
      <c r="AB3" s="10"/>
      <c r="AC3" s="10"/>
    </row>
    <row r="4" spans="2:30" x14ac:dyDescent="0.3">
      <c r="B4" s="45"/>
      <c r="C4" s="46"/>
      <c r="D4" s="47"/>
      <c r="E4" s="51" t="s">
        <v>35</v>
      </c>
      <c r="F4" s="51"/>
      <c r="G4" s="45"/>
      <c r="H4" s="46"/>
      <c r="I4" s="47"/>
      <c r="J4" s="52" t="s">
        <v>64</v>
      </c>
      <c r="K4" s="53"/>
      <c r="M4" s="51" t="s">
        <v>34</v>
      </c>
      <c r="N4" s="51"/>
      <c r="O4" s="51"/>
      <c r="P4" s="51" t="s">
        <v>35</v>
      </c>
      <c r="Q4" s="51"/>
      <c r="R4" s="45"/>
      <c r="S4" s="46"/>
      <c r="T4" s="47"/>
      <c r="U4" s="52" t="s">
        <v>64</v>
      </c>
      <c r="V4" s="53"/>
      <c r="X4" s="20" t="s">
        <v>49</v>
      </c>
      <c r="Y4" s="10"/>
      <c r="Z4" s="10"/>
      <c r="AA4" s="10"/>
      <c r="AB4" s="10"/>
      <c r="AC4" s="10"/>
    </row>
    <row r="5" spans="2:30" x14ac:dyDescent="0.3">
      <c r="B5" s="22">
        <v>14</v>
      </c>
      <c r="C5" s="11" t="s">
        <v>36</v>
      </c>
      <c r="D5" s="23">
        <v>1500</v>
      </c>
      <c r="E5" s="24">
        <v>6.7599999999999993E-2</v>
      </c>
      <c r="F5" s="25">
        <v>0.22</v>
      </c>
      <c r="G5" s="26">
        <v>0.10100000000000001</v>
      </c>
      <c r="H5" s="11" t="s">
        <v>36</v>
      </c>
      <c r="I5" s="27">
        <v>10.3</v>
      </c>
      <c r="J5" s="25">
        <v>5.13</v>
      </c>
      <c r="K5" s="25">
        <v>0.22</v>
      </c>
      <c r="M5" s="22">
        <v>14</v>
      </c>
      <c r="N5" s="11" t="s">
        <v>36</v>
      </c>
      <c r="O5" s="23">
        <v>1500</v>
      </c>
      <c r="P5" s="24">
        <v>6.6500000000000004E-2</v>
      </c>
      <c r="Q5" s="25">
        <v>0.31900000000000001</v>
      </c>
      <c r="R5" s="26">
        <v>0.10100000000000001</v>
      </c>
      <c r="S5" s="11" t="s">
        <v>36</v>
      </c>
      <c r="T5" s="27">
        <v>10.3</v>
      </c>
      <c r="U5" s="25">
        <v>8.26</v>
      </c>
      <c r="V5" s="25">
        <v>0.31900000000000001</v>
      </c>
      <c r="X5" s="20" t="s">
        <v>42</v>
      </c>
      <c r="Y5" s="10"/>
      <c r="Z5" s="10"/>
      <c r="AA5" s="10"/>
      <c r="AB5" s="10"/>
      <c r="AC5" s="10"/>
    </row>
    <row r="6" spans="2:30" x14ac:dyDescent="0.3">
      <c r="B6" s="10"/>
      <c r="C6" s="10"/>
      <c r="D6" s="10"/>
      <c r="E6" s="10"/>
      <c r="F6" s="10"/>
      <c r="G6" s="10"/>
      <c r="H6" s="10"/>
      <c r="I6" s="10"/>
      <c r="J6" s="10"/>
      <c r="K6" s="10"/>
      <c r="M6" s="10"/>
      <c r="N6" s="14"/>
      <c r="O6" s="10"/>
      <c r="P6" s="10"/>
      <c r="Q6" s="10"/>
      <c r="R6" s="10"/>
      <c r="S6" s="10"/>
      <c r="T6" s="10"/>
      <c r="U6" s="10"/>
      <c r="V6" s="10"/>
      <c r="X6" s="20" t="s">
        <v>43</v>
      </c>
      <c r="Y6" s="10"/>
      <c r="Z6" s="10"/>
      <c r="AA6" s="10"/>
      <c r="AB6" s="10"/>
      <c r="AC6" s="10"/>
    </row>
    <row r="7" spans="2:30" ht="15.6" x14ac:dyDescent="0.3">
      <c r="B7" s="48" t="s">
        <v>37</v>
      </c>
      <c r="C7" s="49"/>
      <c r="D7" s="49"/>
      <c r="E7" s="49"/>
      <c r="F7" s="49"/>
      <c r="G7" s="49"/>
      <c r="H7" s="49"/>
      <c r="I7" s="49"/>
      <c r="J7" s="49"/>
      <c r="K7" s="50"/>
      <c r="M7" s="48" t="s">
        <v>40</v>
      </c>
      <c r="N7" s="49"/>
      <c r="O7" s="49"/>
      <c r="P7" s="49"/>
      <c r="Q7" s="49"/>
      <c r="R7" s="49"/>
      <c r="S7" s="49"/>
      <c r="T7" s="49"/>
      <c r="U7" s="49"/>
      <c r="V7" s="50"/>
      <c r="X7" s="19" t="s">
        <v>44</v>
      </c>
      <c r="Y7" s="10"/>
      <c r="Z7" s="10"/>
      <c r="AA7" s="10"/>
      <c r="AB7" s="10"/>
      <c r="AC7" s="10"/>
    </row>
    <row r="8" spans="2:30" x14ac:dyDescent="0.3">
      <c r="B8" s="42" t="s">
        <v>34</v>
      </c>
      <c r="C8" s="43"/>
      <c r="D8" s="44"/>
      <c r="E8" s="15" t="s">
        <v>32</v>
      </c>
      <c r="F8" s="15" t="s">
        <v>33</v>
      </c>
      <c r="G8" s="42" t="s">
        <v>63</v>
      </c>
      <c r="H8" s="43"/>
      <c r="I8" s="44"/>
      <c r="J8" s="15" t="s">
        <v>32</v>
      </c>
      <c r="K8" s="15" t="s">
        <v>33</v>
      </c>
      <c r="M8" s="52"/>
      <c r="N8" s="54"/>
      <c r="O8" s="53"/>
      <c r="P8" s="15" t="s">
        <v>32</v>
      </c>
      <c r="Q8" s="15" t="s">
        <v>33</v>
      </c>
      <c r="R8" s="42" t="s">
        <v>63</v>
      </c>
      <c r="S8" s="43"/>
      <c r="T8" s="44"/>
      <c r="U8" s="15" t="s">
        <v>32</v>
      </c>
      <c r="V8" s="15" t="s">
        <v>33</v>
      </c>
      <c r="X8" s="20" t="s">
        <v>50</v>
      </c>
      <c r="Y8" s="10"/>
      <c r="Z8" s="10"/>
      <c r="AA8" s="10"/>
      <c r="AB8" s="10"/>
      <c r="AC8" s="10"/>
    </row>
    <row r="9" spans="2:30" x14ac:dyDescent="0.3">
      <c r="B9" s="45"/>
      <c r="C9" s="46"/>
      <c r="D9" s="47"/>
      <c r="E9" s="51" t="s">
        <v>35</v>
      </c>
      <c r="F9" s="51"/>
      <c r="G9" s="45"/>
      <c r="H9" s="46"/>
      <c r="I9" s="47"/>
      <c r="J9" s="52" t="s">
        <v>64</v>
      </c>
      <c r="K9" s="53"/>
      <c r="M9" s="52" t="s">
        <v>34</v>
      </c>
      <c r="N9" s="54"/>
      <c r="O9" s="53"/>
      <c r="P9" s="52" t="s">
        <v>35</v>
      </c>
      <c r="Q9" s="53"/>
      <c r="R9" s="45"/>
      <c r="S9" s="46"/>
      <c r="T9" s="47"/>
      <c r="U9" s="52" t="s">
        <v>64</v>
      </c>
      <c r="V9" s="53"/>
      <c r="X9" s="20" t="s">
        <v>43</v>
      </c>
      <c r="Y9" s="10"/>
      <c r="Z9" s="10"/>
      <c r="AA9" s="10"/>
      <c r="AB9" s="10"/>
      <c r="AC9" s="10"/>
    </row>
    <row r="10" spans="2:30" x14ac:dyDescent="0.3">
      <c r="B10" s="22">
        <v>14</v>
      </c>
      <c r="C10" s="11" t="s">
        <v>36</v>
      </c>
      <c r="D10" s="23">
        <v>117</v>
      </c>
      <c r="E10" s="24">
        <v>1.8818897637795276E-2</v>
      </c>
      <c r="F10" s="25">
        <v>0.62470000000000003</v>
      </c>
      <c r="G10" s="26">
        <v>0.10100000000000001</v>
      </c>
      <c r="H10" s="11" t="s">
        <v>36</v>
      </c>
      <c r="I10" s="27">
        <v>0.80671499999999996</v>
      </c>
      <c r="J10" s="25">
        <v>10.707683798033065</v>
      </c>
      <c r="K10" s="25">
        <v>0.62470000000000003</v>
      </c>
      <c r="M10" s="22">
        <v>14</v>
      </c>
      <c r="N10" s="11" t="s">
        <v>36</v>
      </c>
      <c r="O10" s="23">
        <v>1500</v>
      </c>
      <c r="P10" s="24">
        <v>8.3930000000000005E-2</v>
      </c>
      <c r="Q10" s="25">
        <v>0.25</v>
      </c>
      <c r="R10" s="26">
        <v>14</v>
      </c>
      <c r="S10" s="11" t="s">
        <v>36</v>
      </c>
      <c r="T10" s="27">
        <v>10.3</v>
      </c>
      <c r="U10" s="25">
        <v>7.4</v>
      </c>
      <c r="V10" s="25">
        <v>0.25</v>
      </c>
      <c r="X10" s="21" t="s">
        <v>45</v>
      </c>
      <c r="Y10" s="10"/>
      <c r="Z10" s="10"/>
      <c r="AA10" s="10"/>
      <c r="AB10" s="10"/>
      <c r="AC10" s="10"/>
    </row>
    <row r="11" spans="2:30" x14ac:dyDescent="0.3">
      <c r="B11" s="16">
        <v>117</v>
      </c>
      <c r="C11" s="12" t="s">
        <v>36</v>
      </c>
      <c r="D11" s="17">
        <v>218</v>
      </c>
      <c r="E11" s="28">
        <v>1.648031496062992</v>
      </c>
      <c r="F11" s="29">
        <v>-0.31419999999999998</v>
      </c>
      <c r="G11" s="30">
        <v>0.80671499999999996</v>
      </c>
      <c r="H11" s="12" t="s">
        <v>36</v>
      </c>
      <c r="I11" s="31">
        <v>1.5031099999999999</v>
      </c>
      <c r="J11" s="29">
        <v>8.7632800710177339</v>
      </c>
      <c r="K11" s="29">
        <v>-0.31419999999999998</v>
      </c>
      <c r="M11" s="10"/>
      <c r="N11" s="14"/>
      <c r="O11" s="10"/>
      <c r="P11" s="10"/>
      <c r="Q11" s="10"/>
      <c r="R11" s="10"/>
      <c r="S11" s="10"/>
      <c r="T11" s="10"/>
      <c r="U11" s="10"/>
      <c r="V11" s="10"/>
      <c r="X11" s="21" t="s">
        <v>46</v>
      </c>
      <c r="Y11" s="10"/>
      <c r="Z11" s="10"/>
      <c r="AA11" s="10"/>
      <c r="AB11" s="10"/>
      <c r="AC11" s="10"/>
    </row>
    <row r="12" spans="2:30" ht="15.6" x14ac:dyDescent="0.3">
      <c r="B12" s="16">
        <v>218</v>
      </c>
      <c r="C12" s="12" t="s">
        <v>36</v>
      </c>
      <c r="D12" s="17">
        <v>550</v>
      </c>
      <c r="E12" s="28">
        <v>0.3298031496062992</v>
      </c>
      <c r="F12" s="29">
        <v>-1.2999999999999999E-2</v>
      </c>
      <c r="G12" s="30">
        <v>1.5031099999999999</v>
      </c>
      <c r="H12" s="12" t="s">
        <v>36</v>
      </c>
      <c r="I12" s="31">
        <v>3.7922500000000001</v>
      </c>
      <c r="J12" s="29">
        <v>7.8521657949784069</v>
      </c>
      <c r="K12" s="29">
        <v>-1.2999999999999999E-2</v>
      </c>
      <c r="M12" s="48" t="s">
        <v>53</v>
      </c>
      <c r="N12" s="49"/>
      <c r="O12" s="49"/>
      <c r="P12" s="49"/>
      <c r="Q12" s="49"/>
      <c r="R12" s="49"/>
      <c r="S12" s="49"/>
      <c r="T12" s="49"/>
      <c r="U12" s="49"/>
      <c r="V12" s="50"/>
      <c r="X12" s="21" t="s">
        <v>47</v>
      </c>
      <c r="Y12" s="10"/>
      <c r="Z12" s="10"/>
      <c r="AA12" s="10"/>
      <c r="AB12" s="10"/>
      <c r="AC12" s="10"/>
    </row>
    <row r="13" spans="2:30" x14ac:dyDescent="0.3">
      <c r="B13" s="16">
        <v>550</v>
      </c>
      <c r="C13" s="12" t="s">
        <v>36</v>
      </c>
      <c r="D13" s="17">
        <v>1020</v>
      </c>
      <c r="E13" s="28">
        <v>1.0708661417322834E-2</v>
      </c>
      <c r="F13" s="29">
        <v>0.53539999999999999</v>
      </c>
      <c r="G13" s="30">
        <v>3.7922500000000001</v>
      </c>
      <c r="H13" s="12" t="s">
        <v>36</v>
      </c>
      <c r="I13" s="31">
        <v>7.0328999999999997</v>
      </c>
      <c r="J13" s="29">
        <v>3.9067683041390504</v>
      </c>
      <c r="K13" s="29">
        <v>0.53539999999999999</v>
      </c>
      <c r="M13" s="52"/>
      <c r="N13" s="54"/>
      <c r="O13" s="53"/>
      <c r="P13" s="15" t="s">
        <v>32</v>
      </c>
      <c r="Q13" s="15" t="s">
        <v>33</v>
      </c>
      <c r="R13" s="42" t="s">
        <v>63</v>
      </c>
      <c r="S13" s="43"/>
      <c r="T13" s="44"/>
      <c r="U13" s="15" t="s">
        <v>32</v>
      </c>
      <c r="V13" s="15" t="s">
        <v>33</v>
      </c>
      <c r="X13" s="21" t="s">
        <v>48</v>
      </c>
      <c r="Y13" s="10"/>
      <c r="Z13" s="10"/>
      <c r="AA13" s="10"/>
      <c r="AB13" s="10"/>
      <c r="AC13" s="10"/>
    </row>
    <row r="14" spans="2:30" x14ac:dyDescent="0.3">
      <c r="B14" s="22">
        <v>1020</v>
      </c>
      <c r="C14" s="11" t="s">
        <v>36</v>
      </c>
      <c r="D14" s="23">
        <v>1548</v>
      </c>
      <c r="E14" s="28">
        <v>0.27665354330708658</v>
      </c>
      <c r="F14" s="29">
        <v>6.3799999999999996E-2</v>
      </c>
      <c r="G14" s="26">
        <v>7.0328999999999997</v>
      </c>
      <c r="H14" s="11" t="s">
        <v>36</v>
      </c>
      <c r="I14" s="32">
        <v>10.67346</v>
      </c>
      <c r="J14" s="29">
        <v>9.6532036198768516</v>
      </c>
      <c r="K14" s="29">
        <v>6.3799999999999996E-2</v>
      </c>
      <c r="M14" s="52" t="s">
        <v>34</v>
      </c>
      <c r="N14" s="54"/>
      <c r="O14" s="53"/>
      <c r="P14" s="52" t="s">
        <v>35</v>
      </c>
      <c r="Q14" s="53"/>
      <c r="R14" s="45"/>
      <c r="S14" s="46"/>
      <c r="T14" s="47"/>
      <c r="U14" s="52" t="s">
        <v>64</v>
      </c>
      <c r="V14" s="53"/>
    </row>
    <row r="15" spans="2:30" x14ac:dyDescent="0.3">
      <c r="B15" s="10"/>
      <c r="C15" s="10"/>
      <c r="D15" s="10"/>
      <c r="E15" s="10"/>
      <c r="F15" s="10"/>
      <c r="G15" s="10"/>
      <c r="H15" s="10"/>
      <c r="I15" s="10"/>
      <c r="J15" s="10"/>
      <c r="K15" s="10"/>
      <c r="M15" s="22">
        <v>14</v>
      </c>
      <c r="N15" s="11" t="s">
        <v>36</v>
      </c>
      <c r="O15" s="23">
        <v>1500</v>
      </c>
      <c r="P15" s="24">
        <v>1.5599999999999999E-2</v>
      </c>
      <c r="Q15" s="25">
        <v>0.4</v>
      </c>
      <c r="R15" s="26">
        <v>14</v>
      </c>
      <c r="S15" s="11" t="s">
        <v>36</v>
      </c>
      <c r="T15" s="27">
        <v>10.3</v>
      </c>
      <c r="U15" s="25">
        <v>2.9</v>
      </c>
      <c r="V15" s="25">
        <v>0.4</v>
      </c>
    </row>
    <row r="16" spans="2:30" ht="15.6" x14ac:dyDescent="0.3">
      <c r="B16" s="48" t="s">
        <v>38</v>
      </c>
      <c r="C16" s="49"/>
      <c r="D16" s="49"/>
      <c r="E16" s="49"/>
      <c r="F16" s="49"/>
      <c r="G16" s="49"/>
      <c r="H16" s="49"/>
      <c r="I16" s="49"/>
      <c r="J16" s="49"/>
      <c r="K16" s="50"/>
    </row>
    <row r="17" spans="2:14" x14ac:dyDescent="0.3">
      <c r="B17" s="42" t="s">
        <v>34</v>
      </c>
      <c r="C17" s="43"/>
      <c r="D17" s="44"/>
      <c r="E17" s="15" t="s">
        <v>32</v>
      </c>
      <c r="F17" s="15" t="s">
        <v>33</v>
      </c>
      <c r="G17" s="42" t="s">
        <v>63</v>
      </c>
      <c r="H17" s="43"/>
      <c r="I17" s="44"/>
      <c r="J17" s="15" t="s">
        <v>32</v>
      </c>
      <c r="K17" s="15" t="s">
        <v>33</v>
      </c>
      <c r="N17"/>
    </row>
    <row r="18" spans="2:14" x14ac:dyDescent="0.3">
      <c r="B18" s="45"/>
      <c r="C18" s="46"/>
      <c r="D18" s="47"/>
      <c r="E18" s="51" t="s">
        <v>35</v>
      </c>
      <c r="F18" s="51"/>
      <c r="G18" s="45"/>
      <c r="H18" s="46"/>
      <c r="I18" s="47"/>
      <c r="J18" s="51" t="s">
        <v>64</v>
      </c>
      <c r="K18" s="51"/>
    </row>
    <row r="19" spans="2:14" x14ac:dyDescent="0.3">
      <c r="B19" s="22">
        <v>14.7</v>
      </c>
      <c r="C19" s="11" t="s">
        <v>36</v>
      </c>
      <c r="D19" s="23">
        <v>113</v>
      </c>
      <c r="E19" s="24">
        <v>1.6023622047244095E-2</v>
      </c>
      <c r="F19" s="25">
        <v>0.61929999999999996</v>
      </c>
      <c r="G19" s="26">
        <v>0.1</v>
      </c>
      <c r="H19" s="11" t="s">
        <v>36</v>
      </c>
      <c r="I19" s="27">
        <v>0.77913500000000002</v>
      </c>
      <c r="J19" s="25">
        <v>8.8754449677853557</v>
      </c>
      <c r="K19" s="25">
        <v>0.61929999999999996</v>
      </c>
    </row>
    <row r="20" spans="2:14" x14ac:dyDescent="0.3">
      <c r="B20" s="16">
        <v>113</v>
      </c>
      <c r="C20" s="12" t="s">
        <v>36</v>
      </c>
      <c r="D20" s="17">
        <v>373</v>
      </c>
      <c r="E20" s="28">
        <v>0.31051181102362202</v>
      </c>
      <c r="F20" s="29">
        <v>-8.6999999999999994E-3</v>
      </c>
      <c r="G20" s="30">
        <v>0.77913500000000002</v>
      </c>
      <c r="H20" s="12" t="s">
        <v>36</v>
      </c>
      <c r="I20" s="31">
        <v>2.5718350000000001</v>
      </c>
      <c r="J20" s="29">
        <v>7.5527844238794399</v>
      </c>
      <c r="K20" s="29">
        <v>-8.6999999999999994E-3</v>
      </c>
    </row>
    <row r="21" spans="2:14" x14ac:dyDescent="0.3">
      <c r="B21" s="16">
        <v>373</v>
      </c>
      <c r="C21" s="12" t="s">
        <v>36</v>
      </c>
      <c r="D21" s="17">
        <v>860</v>
      </c>
      <c r="E21" s="28">
        <v>4.921259842519685E-3</v>
      </c>
      <c r="F21" s="29">
        <v>0.68820000000000003</v>
      </c>
      <c r="G21" s="30">
        <v>2.5718350000000001</v>
      </c>
      <c r="H21" s="12" t="s">
        <v>36</v>
      </c>
      <c r="I21" s="31">
        <v>5.9297000000000004</v>
      </c>
      <c r="J21" s="29">
        <v>3.8408799049960156</v>
      </c>
      <c r="K21" s="29">
        <v>0.68820000000000003</v>
      </c>
    </row>
    <row r="22" spans="2:14" x14ac:dyDescent="0.3">
      <c r="B22" s="16">
        <v>860</v>
      </c>
      <c r="C22" s="12" t="s">
        <v>36</v>
      </c>
      <c r="D22" s="17">
        <v>1233</v>
      </c>
      <c r="E22" s="28">
        <v>1.415511811023622</v>
      </c>
      <c r="F22" s="29">
        <v>-0.14810000000000001</v>
      </c>
      <c r="G22" s="30">
        <v>5.9297000000000004</v>
      </c>
      <c r="H22" s="12" t="s">
        <v>36</v>
      </c>
      <c r="I22" s="31">
        <v>8.5015350000000005</v>
      </c>
      <c r="J22" s="33">
        <v>17.20418640980624</v>
      </c>
      <c r="K22" s="29">
        <v>-0.14810000000000001</v>
      </c>
    </row>
    <row r="23" spans="2:14" x14ac:dyDescent="0.3">
      <c r="B23" s="22">
        <v>1233</v>
      </c>
      <c r="C23" s="11" t="s">
        <v>36</v>
      </c>
      <c r="D23" s="23">
        <v>1625</v>
      </c>
      <c r="E23" s="28">
        <v>2.0866141732283464E-2</v>
      </c>
      <c r="F23" s="29">
        <v>0.44169999999999998</v>
      </c>
      <c r="G23" s="26">
        <v>8.5015350000000005</v>
      </c>
      <c r="H23" s="11" t="s">
        <v>36</v>
      </c>
      <c r="I23" s="32">
        <v>11.204375000000001</v>
      </c>
      <c r="J23" s="29">
        <v>4.7752408634765926</v>
      </c>
      <c r="K23" s="29">
        <v>0.44169999999999998</v>
      </c>
    </row>
    <row r="24" spans="2:14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</row>
  </sheetData>
  <mergeCells count="34">
    <mergeCell ref="M7:V7"/>
    <mergeCell ref="M8:O8"/>
    <mergeCell ref="M9:O9"/>
    <mergeCell ref="P9:Q9"/>
    <mergeCell ref="U9:V9"/>
    <mergeCell ref="M12:V12"/>
    <mergeCell ref="M13:O13"/>
    <mergeCell ref="M14:O14"/>
    <mergeCell ref="P14:Q14"/>
    <mergeCell ref="U14:V14"/>
    <mergeCell ref="B2:K2"/>
    <mergeCell ref="E4:F4"/>
    <mergeCell ref="J4:K4"/>
    <mergeCell ref="M3:O3"/>
    <mergeCell ref="M4:O4"/>
    <mergeCell ref="M2:V2"/>
    <mergeCell ref="P4:Q4"/>
    <mergeCell ref="B3:D4"/>
    <mergeCell ref="X2:AD2"/>
    <mergeCell ref="G8:I9"/>
    <mergeCell ref="G3:I4"/>
    <mergeCell ref="G17:I18"/>
    <mergeCell ref="R3:T4"/>
    <mergeCell ref="R8:T9"/>
    <mergeCell ref="R13:T14"/>
    <mergeCell ref="B16:K16"/>
    <mergeCell ref="E18:F18"/>
    <mergeCell ref="J18:K18"/>
    <mergeCell ref="B17:D18"/>
    <mergeCell ref="B7:K7"/>
    <mergeCell ref="E9:F9"/>
    <mergeCell ref="J9:K9"/>
    <mergeCell ref="B8:D9"/>
    <mergeCell ref="U4:V4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CA62-9C46-4812-9FFE-EB4A1F8A978E}">
  <dimension ref="B2:E14"/>
  <sheetViews>
    <sheetView showGridLines="0" zoomScaleNormal="100" workbookViewId="0">
      <selection activeCell="B8" sqref="B8"/>
    </sheetView>
  </sheetViews>
  <sheetFormatPr defaultRowHeight="14.4" x14ac:dyDescent="0.3"/>
  <cols>
    <col min="2" max="2" width="8" bestFit="1" customWidth="1"/>
    <col min="3" max="3" width="13.21875" bestFit="1" customWidth="1"/>
    <col min="4" max="4" width="64.88671875" customWidth="1"/>
    <col min="5" max="5" width="13.21875" bestFit="1" customWidth="1"/>
  </cols>
  <sheetData>
    <row r="2" spans="2:5" x14ac:dyDescent="0.3">
      <c r="B2" s="36" t="s">
        <v>72</v>
      </c>
      <c r="C2" s="36" t="s">
        <v>74</v>
      </c>
      <c r="D2" s="36" t="s">
        <v>73</v>
      </c>
      <c r="E2" s="36" t="s">
        <v>76</v>
      </c>
    </row>
    <row r="3" spans="2:5" x14ac:dyDescent="0.3">
      <c r="B3" s="34">
        <v>1</v>
      </c>
      <c r="C3" s="37">
        <v>45107</v>
      </c>
      <c r="D3" s="2" t="s">
        <v>75</v>
      </c>
      <c r="E3" s="2" t="s">
        <v>77</v>
      </c>
    </row>
    <row r="4" spans="2:5" x14ac:dyDescent="0.3">
      <c r="B4" s="2">
        <v>1.1000000000000001</v>
      </c>
      <c r="C4" s="37">
        <v>45107</v>
      </c>
      <c r="D4" s="2" t="s">
        <v>78</v>
      </c>
      <c r="E4" s="2" t="s">
        <v>77</v>
      </c>
    </row>
    <row r="5" spans="2:5" x14ac:dyDescent="0.3">
      <c r="B5" s="2">
        <v>1.2</v>
      </c>
      <c r="C5" s="37">
        <v>45110</v>
      </c>
      <c r="D5" s="2" t="s">
        <v>85</v>
      </c>
      <c r="E5" s="2" t="s">
        <v>77</v>
      </c>
    </row>
    <row r="6" spans="2:5" x14ac:dyDescent="0.3">
      <c r="B6" s="2">
        <v>1.3</v>
      </c>
      <c r="C6" s="37">
        <v>45110</v>
      </c>
      <c r="D6" s="2" t="s">
        <v>109</v>
      </c>
      <c r="E6" s="2" t="s">
        <v>77</v>
      </c>
    </row>
    <row r="7" spans="2:5" ht="43.2" x14ac:dyDescent="0.3">
      <c r="B7" s="55">
        <v>1.4</v>
      </c>
      <c r="C7" s="56">
        <v>45111</v>
      </c>
      <c r="D7" s="57" t="s">
        <v>110</v>
      </c>
      <c r="E7" s="55" t="s">
        <v>77</v>
      </c>
    </row>
    <row r="8" spans="2:5" x14ac:dyDescent="0.3">
      <c r="B8" s="8"/>
      <c r="C8" s="8"/>
      <c r="D8" s="8"/>
      <c r="E8" s="8"/>
    </row>
    <row r="9" spans="2:5" x14ac:dyDescent="0.3">
      <c r="B9" s="8"/>
      <c r="C9" s="8"/>
      <c r="D9" s="8"/>
      <c r="E9" s="8"/>
    </row>
    <row r="10" spans="2:5" x14ac:dyDescent="0.3">
      <c r="B10" s="8"/>
      <c r="C10" s="8"/>
      <c r="D10" s="8"/>
      <c r="E10" s="8"/>
    </row>
    <row r="11" spans="2:5" x14ac:dyDescent="0.3">
      <c r="B11" s="8"/>
      <c r="C11" s="8"/>
      <c r="D11" s="8"/>
      <c r="E11" s="8"/>
    </row>
    <row r="12" spans="2:5" x14ac:dyDescent="0.3">
      <c r="B12" s="8"/>
      <c r="C12" s="8"/>
      <c r="D12" s="8"/>
      <c r="E12" s="8"/>
    </row>
    <row r="13" spans="2:5" x14ac:dyDescent="0.3">
      <c r="B13" s="8"/>
      <c r="C13" s="8"/>
      <c r="D13" s="8"/>
      <c r="E13" s="8"/>
    </row>
    <row r="14" spans="2:5" x14ac:dyDescent="0.3">
      <c r="B14" s="8"/>
      <c r="C14" s="8"/>
      <c r="D14" s="8"/>
      <c r="E14" s="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A7AD-4044-4727-8F5B-A647482967B9}">
  <dimension ref="B2:C21"/>
  <sheetViews>
    <sheetView showGridLines="0" workbookViewId="0">
      <selection activeCell="L13" sqref="L13"/>
    </sheetView>
  </sheetViews>
  <sheetFormatPr defaultRowHeight="14.4" x14ac:dyDescent="0.3"/>
  <cols>
    <col min="2" max="2" width="18.44140625" bestFit="1" customWidth="1"/>
  </cols>
  <sheetData>
    <row r="2" spans="2:3" x14ac:dyDescent="0.3">
      <c r="B2" s="13" t="s">
        <v>105</v>
      </c>
      <c r="C2" s="13" t="s">
        <v>86</v>
      </c>
    </row>
    <row r="3" spans="2:3" x14ac:dyDescent="0.3">
      <c r="B3" s="2">
        <v>1.25</v>
      </c>
      <c r="C3" s="2" t="s">
        <v>87</v>
      </c>
    </row>
    <row r="4" spans="2:3" x14ac:dyDescent="0.3">
      <c r="B4" s="2">
        <f>B3*2</f>
        <v>2.5</v>
      </c>
      <c r="C4" s="2" t="s">
        <v>88</v>
      </c>
    </row>
    <row r="5" spans="2:3" x14ac:dyDescent="0.3">
      <c r="B5" s="2">
        <f t="shared" ref="B5:B21" si="0">B4*2</f>
        <v>5</v>
      </c>
      <c r="C5" s="2" t="s">
        <v>89</v>
      </c>
    </row>
    <row r="6" spans="2:3" x14ac:dyDescent="0.3">
      <c r="B6" s="2">
        <f t="shared" si="0"/>
        <v>10</v>
      </c>
      <c r="C6" s="2" t="s">
        <v>90</v>
      </c>
    </row>
    <row r="7" spans="2:3" x14ac:dyDescent="0.3">
      <c r="B7" s="2">
        <f t="shared" si="0"/>
        <v>20</v>
      </c>
      <c r="C7" s="2" t="s">
        <v>91</v>
      </c>
    </row>
    <row r="8" spans="2:3" x14ac:dyDescent="0.3">
      <c r="B8" s="2">
        <f t="shared" si="0"/>
        <v>40</v>
      </c>
      <c r="C8" s="2" t="s">
        <v>92</v>
      </c>
    </row>
    <row r="9" spans="2:3" x14ac:dyDescent="0.3">
      <c r="B9" s="2">
        <f t="shared" si="0"/>
        <v>80</v>
      </c>
      <c r="C9" s="2" t="s">
        <v>93</v>
      </c>
    </row>
    <row r="10" spans="2:3" x14ac:dyDescent="0.3">
      <c r="B10" s="2">
        <f t="shared" si="0"/>
        <v>160</v>
      </c>
      <c r="C10" s="2" t="s">
        <v>94</v>
      </c>
    </row>
    <row r="11" spans="2:3" x14ac:dyDescent="0.3">
      <c r="B11" s="2">
        <f t="shared" si="0"/>
        <v>320</v>
      </c>
      <c r="C11" s="2" t="s">
        <v>95</v>
      </c>
    </row>
    <row r="12" spans="2:3" x14ac:dyDescent="0.3">
      <c r="B12" s="2">
        <f t="shared" si="0"/>
        <v>640</v>
      </c>
      <c r="C12" s="2" t="s">
        <v>96</v>
      </c>
    </row>
    <row r="13" spans="2:3" x14ac:dyDescent="0.3">
      <c r="B13" s="2">
        <f t="shared" si="0"/>
        <v>1280</v>
      </c>
      <c r="C13" s="2" t="s">
        <v>97</v>
      </c>
    </row>
    <row r="14" spans="2:3" x14ac:dyDescent="0.3">
      <c r="B14" s="2">
        <f t="shared" si="0"/>
        <v>2560</v>
      </c>
      <c r="C14" s="2" t="s">
        <v>98</v>
      </c>
    </row>
    <row r="15" spans="2:3" x14ac:dyDescent="0.3">
      <c r="B15" s="2">
        <f t="shared" si="0"/>
        <v>5120</v>
      </c>
      <c r="C15" s="2" t="s">
        <v>99</v>
      </c>
    </row>
    <row r="16" spans="2:3" x14ac:dyDescent="0.3">
      <c r="B16" s="2">
        <f t="shared" si="0"/>
        <v>10240</v>
      </c>
      <c r="C16" s="2" t="s">
        <v>30</v>
      </c>
    </row>
    <row r="17" spans="2:3" x14ac:dyDescent="0.3">
      <c r="B17" s="2">
        <f t="shared" si="0"/>
        <v>20480</v>
      </c>
      <c r="C17" s="2" t="s">
        <v>100</v>
      </c>
    </row>
    <row r="18" spans="2:3" x14ac:dyDescent="0.3">
      <c r="B18" s="2">
        <f t="shared" si="0"/>
        <v>40960</v>
      </c>
      <c r="C18" s="2" t="s">
        <v>101</v>
      </c>
    </row>
    <row r="19" spans="2:3" x14ac:dyDescent="0.3">
      <c r="B19" s="2">
        <f t="shared" si="0"/>
        <v>81920</v>
      </c>
      <c r="C19" s="2" t="s">
        <v>102</v>
      </c>
    </row>
    <row r="20" spans="2:3" x14ac:dyDescent="0.3">
      <c r="B20" s="2">
        <f t="shared" si="0"/>
        <v>163840</v>
      </c>
      <c r="C20" s="2" t="s">
        <v>103</v>
      </c>
    </row>
    <row r="21" spans="2:3" x14ac:dyDescent="0.3">
      <c r="B21" s="2">
        <f t="shared" si="0"/>
        <v>327680</v>
      </c>
      <c r="C21" s="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CoreBurner</vt:lpstr>
      <vt:lpstr>Nozzleless</vt:lpstr>
      <vt:lpstr>CoredEndBurner</vt:lpstr>
      <vt:lpstr>EndBurner</vt:lpstr>
      <vt:lpstr>Bates</vt:lpstr>
      <vt:lpstr>SugProp Burn Rate Data</vt:lpstr>
      <vt:lpstr>Version Log</vt:lpstr>
      <vt:lpstr>Motor Classification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2023-06-16T06:00:23Z</dcterms:created>
  <dcterms:modified xsi:type="dcterms:W3CDTF">2023-07-04T05:56:20Z</dcterms:modified>
</cp:coreProperties>
</file>